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QO5XyKq++E3/sqlkDVS00Z1/wxQKY8r1fzp/ufPSF7Lxmo1tyKqyKr7MK+Poz8/55VC7zdQPPG2d9bIugK+J/w==" workbookSaltValue="KPbSwUsCBVcoiWnek6sZR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Y139" i="83"/>
  <c r="Y133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214" i="83" l="1"/>
  <c r="AK214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334" i="83" l="1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<sst xmlns="http://schemas.openxmlformats.org/spreadsheetml/2006/main" count="65817" uniqueCount="757">
  <si>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</si>
  <si>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</si>
  <si>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</si>
  <si>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</si>
  <si>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</si>
  <si>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</si>
  <si>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</si>
  <si>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</si>
  <si>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</si>
  <si>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</si>
  <si>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</si>
  <si>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</si>
  <si>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</si>
  <si>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</si>
  <si>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</si>
  <si>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</si>
  <si>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</si>
  <si>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</si>
  <si>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</si>
  <si>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</si>
  <si>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</si>
  <si>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</si>
  <si>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</si>
  <si>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</si>
  <si>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</si>
  <si>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</si>
  <si>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</si>
  <si>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</si>
  <si>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</si>
  <si>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</si>
  <si>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</si>
  <si>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</si>
  <si>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</si>
  <si>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</si>
  <si>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</si>
  <si>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</si>
  <si>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</si>
  <si>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</si>
  <si>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</si>
  <si>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</si>
  <si>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</si>
  <si>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</si>
  <si>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</si>
  <si>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</si>
  <si>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</si>
  <si>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</si>
  <si>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</si>
  <si>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</si>
  <si>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</si>
  <si>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</si>
  <si>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</si>
  <si>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</si>
  <si>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</si>
  <si>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</si>
  <si>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</si>
  <si>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</si>
  <si>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</si>
  <si>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</si>
  <si>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</si>
  <si>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</si>
  <si>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</si>
  <si>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</si>
  <si>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</si>
  <si>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</si>
  <si>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</si>
  <si>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</si>
  <si>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</si>
  <si>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</si>
  <si>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</si>
  <si>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</si>
  <si>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</si>
  <si>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</si>
  <si>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</si>
  <si>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</si>
  <si>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</si>
  <si>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</si>
  <si>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</si>
  <si>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</si>
  <si>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</si>
  <si>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</si>
  <si>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</si>
  <si>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</si>
  <si>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</si>
  <si>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</si>
  <si>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</si>
  <si>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</si>
  <si>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</si>
  <si>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</si>
  <si>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</si>
  <si>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</si>
  <si>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</si>
  <si>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</si>
  <si>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</si>
  <si>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</si>
  <si>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</si>
  <si>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</si>
  <si>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</si>
  <si>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</si>
  <si>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</si>
  <si>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</si>
  <si>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</si>
  <si>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</si>
  <si>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</si>
  <si>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</si>
  <si>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</si>
  <si>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</si>
  <si>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</si>
  <si>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</si>
  <si>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</si>
  <si>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</si>
  <si>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</si>
  <si>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</si>
  <si>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</si>
  <si>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</si>
  <si>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</si>
  <si>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</si>
  <si>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</si>
  <si>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</si>
  <si>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</si>
  <si>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</si>
  <si>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</si>
  <si>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</si>
  <si>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</si>
  <si>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</si>
  <si>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</si>
  <si>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</si>
  <si>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</si>
  <si>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</si>
  <si>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</si>
  <si>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</si>
  <si>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</si>
  <si>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</si>
  <si>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</si>
  <si>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</si>
  <si>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</si>
  <si>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</si>
  <si>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</si>
  <si>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</si>
  <si>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</si>
  <si>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</si>
  <si>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</si>
  <si>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</si>
  <si>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</si>
  <si>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</si>
  <si>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</si>
  <si>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</si>
  <si>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</si>
  <si>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</si>
  <si>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</si>
  <si>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</si>
  <si>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</si>
  <si>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</si>
  <si>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</si>
  <si>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</si>
  <si>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</si>
  <si>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</si>
  <si>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</si>
  <si>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</si>
  <si>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</si>
  <si>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</si>
  <si>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</si>
  <si>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</si>
  <si>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</si>
  <si>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</si>
  <si>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</si>
  <si>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</si>
  <si>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</si>
  <si>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</si>
  <si>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</si>
  <si>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</si>
  <si>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</si>
  <si>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</si>
  <si>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</si>
  <si>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</si>
  <si>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</si>
  <si>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</si>
  <si>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</si>
  <si>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</si>
  <si>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</si>
  <si>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</si>
  <si>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</si>
  <si>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</si>
  <si>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</si>
  <si>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</si>
  <si>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</si>
  <si>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</si>
  <si>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</si>
  <si>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</si>
  <si>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</si>
  <si>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</si>
  <si>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</si>
  <si>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</si>
  <si>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</si>
  <si>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</si>
  <si>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</si>
  <si>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</si>
  <si>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</si>
  <si>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</si>
  <si>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</si>
  <si>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</si>
  <si>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</si>
  <si>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</si>
  <si>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</si>
  <si>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</si>
  <si>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</si>
  <si>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</si>
  <si>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</si>
  <si>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</si>
  <si>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</si>
  <si>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</si>
  <si>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</si>
  <si>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</si>
  <si>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</si>
  <si>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</si>
  <si>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</si>
  <si>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</si>
  <si>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</si>
  <si>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</si>
  <si>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</si>
  <si>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</si>
  <si>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</si>
  <si>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</si>
  <si>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</si>
  <si>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</si>
  <si>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</si>
  <si>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</si>
  <si>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</si>
  <si>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</si>
  <si>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</si>
  <si>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</si>
  <si>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</si>
  <si>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</si>
  <si>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</si>
  <si>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</si>
  <si>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</si>
  <si>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</si>
  <si>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</si>
  <si>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</si>
  <si>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</si>
  <si>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</si>
  <si>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</si>
  <si>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</si>
  <si>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</si>
  <si>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</si>
  <si>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</si>
  <si>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</si>
  <si>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</si>
  <si>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</si>
  <si>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</si>
  <si>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</si>
  <si>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</si>
  <si>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</si>
  <si>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</si>
  <si>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</si>
  <si>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</si>
  <si>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</si>
  <si>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</si>
  <si>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</si>
  <si>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</si>
  <si>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</si>
  <si>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</si>
  <si>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</si>
  <si>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</si>
  <si>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</si>
  <si>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</si>
  <si>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</si>
  <si>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</si>
  <si>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</si>
  <si>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</si>
  <si>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</si>
  <si>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</si>
  <si>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</si>
  <si>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</si>
  <si>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</si>
  <si>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</si>
  <si>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</si>
  <si>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</si>
  <si>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</si>
  <si>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</si>
  <si>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</si>
  <si>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</si>
  <si>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</si>
  <si>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</si>
  <si>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</si>
  <si>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</si>
  <si>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</si>
  <si>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</si>
  <si>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</si>
  <si>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</si>
  <si>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</si>
  <si>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</si>
  <si>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</si>
  <si>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</si>
  <si>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</si>
  <si>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</si>
  <si>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</si>
  <si>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</si>
  <si>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</si>
  <si>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</si>
  <si>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</si>
  <si>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</si>
  <si>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</si>
  <si>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</si>
  <si>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</si>
  <si>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</si>
  <si>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</si>
  <si>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</si>
  <si>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</si>
  <si>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</si>
  <si>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</si>
  <si>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</si>
  <si>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</si>
  <si>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</si>
  <si>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</si>
  <si>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</si>
  <si>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</si>
  <si>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</si>
  <si>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</si>
  <si>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</si>
  <si>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</si>
  <si>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</si>
  <si>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</si>
  <si>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</si>
  <si>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</si>
  <si>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</si>
  <si>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</si>
  <si>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</si>
  <si>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</si>
  <si>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</si>
  <si>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</si>
  <si>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</si>
  <si>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</si>
  <si>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</si>
  <si>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</si>
  <si>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</si>
  <si>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</si>
  <si>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</si>
  <si>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</si>
  <si>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</si>
  <si>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</si>
  <si>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</si>
  <si>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</si>
  <si>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</si>
  <si>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</si>
  <si>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</si>
  <si>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</si>
  <si>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</si>
  <si>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</si>
  <si>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</si>
  <si>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</si>
  <si>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</si>
  <si>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</si>
  <si>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</si>
  <si>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</si>
  <si>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</si>
  <si>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</si>
  <si>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</si>
  <si>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</si>
  <si>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</si>
  <si>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</si>
  <si>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</si>
  <si>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</si>
  <si>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</si>
  <si>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</si>
  <si>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</si>
  <si>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</si>
  <si>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</si>
  <si>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</si>
  <si>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</si>
  <si>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</si>
  <si>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</si>
  <si>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</si>
  <si>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</si>
  <si>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</si>
  <si>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</si>
  <si>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</si>
  <si>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</si>
  <si>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</si>
  <si>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</si>
  <si>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</si>
  <si>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</si>
  <si>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</si>
  <si>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</si>
  <si>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</si>
  <si>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</si>
  <si>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</si>
  <si>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</si>
  <si>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</si>
  <si>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</si>
  <si>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</si>
  <si>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</si>
  <si>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</si>
  <si>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</si>
  <si>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</si>
  <si>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</si>
  <si>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</si>
  <si>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</si>
  <si>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</si>
  <si>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</si>
  <si>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</si>
  <si>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</si>
  <si>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</si>
  <si>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</si>
  <si>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</si>
  <si>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</si>
  <si>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</si>
  <si>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</si>
  <si>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</si>
  <si>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</si>
  <si>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</si>
  <si>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</si>
  <si>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</si>
  <si>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</si>
  <si>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</si>
  <si>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</si>
  <si>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</si>
  <si>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</si>
  <si>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</si>
  <si>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</si>
  <si>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</si>
  <si>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</si>
  <si>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</si>
  <si>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</si>
  <si>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</si>
  <si>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</si>
  <si>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</si>
  <si>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</si>
  <si>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</si>
  <si>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</si>
  <si>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</si>
  <si>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</si>
  <si>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</si>
  <si>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</si>
  <si>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</si>
  <si>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</si>
  <si>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</si>
  <si>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</si>
  <si>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</si>
  <si>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</si>
  <si>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</si>
  <si>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</si>
  <si>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</si>
  <si>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</si>
  <si>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</si>
  <si>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</si>
  <si>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</si>
  <si>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</si>
  <si>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</si>
  <si>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</si>
  <si>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</si>
  <si>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</si>
  <si>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</si>
  <si>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</si>
  <si>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</si>
  <si>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</si>
  <si>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</si>
  <si>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</si>
  <si>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</si>
  <si>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</si>
  <si>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</si>
  <si>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</si>
  <si>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</si>
  <si>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</si>
  <si>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</si>
  <si>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</si>
  <si>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</si>
  <si>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</si>
  <si>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</si>
  <si>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</si>
  <si>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</si>
  <si>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</si>
  <si>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</si>
  <si>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</si>
  <si>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</si>
  <si>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</si>
  <si>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</si>
  <si>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</si>
  <si>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</si>
  <si>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</si>
  <si>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</si>
  <si>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</si>
  <si>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</si>
  <si>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</si>
  <si>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</si>
  <si>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</si>
  <si>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</si>
  <si>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</si>
  <si>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</si>
  <si>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</si>
  <si>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</si>
  <si>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</si>
  <si>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</si>
  <si>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</si>
  <si>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</si>
  <si>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</si>
  <si>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</si>
  <si>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</si>
  <si>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</si>
  <si>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</si>
  <si>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</si>
  <si>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</si>
  <si>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</si>
  <si>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</si>
  <si>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</si>
  <si>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</si>
  <si>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</si>
  <si>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</si>
  <si>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</si>
  <si>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</si>
  <si>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</si>
  <si>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</si>
  <si>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</si>
  <si>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</si>
  <si>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</si>
  <si>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</si>
  <si>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</si>
  <si>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</si>
  <si>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</si>
  <si>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</si>
  <si>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</si>
  <si>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</si>
  <si>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</si>
  <si>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</si>
  <si>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</si>
  <si>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</si>
  <si>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</si>
  <si>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</si>
  <si>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</si>
  <si>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</si>
  <si>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</si>
  <si>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</si>
  <si>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</si>
  <si>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</si>
  <si>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</si>
  <si>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</si>
  <si>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</si>
  <si>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</si>
  <si>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</si>
  <si>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</si>
  <si>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</si>
  <si>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</si>
  <si>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</si>
  <si>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</si>
  <si>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</si>
  <si>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</si>
  <si>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</si>
  <si>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</si>
  <si>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</si>
  <si>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</si>
  <si>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</si>
  <si>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</si>
  <si>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</si>
  <si>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</si>
  <si>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</si>
  <si>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</si>
  <si>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</si>
  <si>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</si>
  <si>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</si>
  <si>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</si>
  <si>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</si>
  <si>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</si>
  <si>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</si>
  <si>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</si>
  <si>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</si>
  <si>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</si>
  <si>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</si>
  <si>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</si>
  <si>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</si>
  <si>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</si>
  <si>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</si>
  <si>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</si>
  <si>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</si>
  <si>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</si>
  <si>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</si>
  <si>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</si>
  <si>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</si>
  <si>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</si>
  <si>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</si>
  <si>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</si>
  <si>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</si>
  <si>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</si>
  <si>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</si>
  <si>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</si>
  <si>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</si>
  <si>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</si>
  <si>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</si>
  <si>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</si>
  <si>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</si>
  <si>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</si>
  <si>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</si>
  <si>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</si>
  <si>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</si>
  <si>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</si>
  <si>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</si>
  <si>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</si>
  <si>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</si>
  <si>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</si>
  <si>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</si>
  <si>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</si>
  <si>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</si>
  <si>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</si>
  <si>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</si>
  <si>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</si>
  <si>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</si>
  <si>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</si>
  <si>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</si>
  <si>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</si>
  <si>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</si>
  <si>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</si>
  <si>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</si>
  <si>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</si>
  <si>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</si>
  <si>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</si>
  <si>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</si>
  <si>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</si>
  <si>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</si>
  <si>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</si>
  <si>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</si>
  <si>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</si>
  <si>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</si>
  <si>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</si>
  <si>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</si>
  <si>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</si>
  <si>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</si>
  <si>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</si>
  <si>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</si>
  <si>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</si>
  <si>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</si>
  <si>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</si>
  <si>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</si>
  <si>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</si>
  <si>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</si>
  <si>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</si>
  <si>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</si>
  <si>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</si>
  <si>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</si>
  <si>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</si>
  <si>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</si>
  <si>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</si>
  <si>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</si>
  <si>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</si>
  <si>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</si>
  <si>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</si>
  <si>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</si>
  <si>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</si>
  <si>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</si>
  <si>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</si>
  <si>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</si>
  <si>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</si>
  <si>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</si>
  <si>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</si>
  <si>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</si>
  <si>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</si>
  <si>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</si>
  <si>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</si>
  <si>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</si>
  <si>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</si>
  <si>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</si>
  <si>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</si>
  <si>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</si>
  <si>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</si>
  <si>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</si>
  <si>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</si>
  <si>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</si>
  <si>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</si>
  <si>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</si>
  <si>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</si>
  <si>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</si>
  <si>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</si>
  <si>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</si>
  <si>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</si>
  <si>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</si>
  <si>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</si>
  <si>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</si>
  <si>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</si>
  <si>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</si>
  <si>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</si>
  <si>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</si>
  <si>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</si>
  <si>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</si>
  <si>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</si>
  <si>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</si>
  <si>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</si>
  <si>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</si>
  <si>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</si>
  <si>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</si>
  <si>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</si>
  <si>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</si>
  <si>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</si>
  <si>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</si>
  <si>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</si>
  <si>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</si>
  <si>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</si>
  <si>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</si>
  <si>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</si>
  <si>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</si>
  <si>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</si>
  <si>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</si>
  <si>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</si>
  <si>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</si>
  <si>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</si>
  <si>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</si>
  <si>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</si>
  <si>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</si>
  <si>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</si>
  <si>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</si>
  <si>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</si>
  <si>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</si>
  <si>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</si>
  <si>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</si>
  <si>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</si>
  <si>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</si>
  <si>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</si>
  <si>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</si>
  <si>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</si>
  <si>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</si>
  <si>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</si>
  <si>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</si>
  <si>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</si>
  <si>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</si>
  <si>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</si>
  <si>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</si>
  <si>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</si>
  <si>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</si>
  <si>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</si>
  <si>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</si>
  <si>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</si>
  <si>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</si>
  <si>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</si>
  <si>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</si>
  <si>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</si>
  <si>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</si>
  <si>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</si>
  <si>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</si>
  <si>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</si>
  <si>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</si>
  <si>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</si>
  <si>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</si>
  <si>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</si>
  <si>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</si>
  <si>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</si>
  <si>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</si>
  <si>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</si>
  <si>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</si>
  <si>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</si>
  <si>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</si>
  <si>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</si>
  <si>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</si>
  <si>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</si>
  <si>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</si>
  <si>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</si>
  <si>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</si>
  <si>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</si>
  <si>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</si>
  <si>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</si>
  <si>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Minister</t>
  </si>
  <si>
    <t>Deputy 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</si>
</sst>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23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0.56331434066294805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4.3884990247124743E-2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7.9491631800443871E-2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1.3967212847747473E-3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8.0215554493391225E-2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7.3383969401547719E-2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3.7573619635382837E-4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2.1729904243384543E-4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4.8393269325181702E-4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4.0658565883990873E-5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0.15719516561184613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7.1081653746073739E-2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7.0408316999396439E-2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6.9408316999396424E-2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6.7408316999396423E-2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1.0918922007627544E-2</v>
      </c>
      <c r="AB3">
        <f>SUMIFS(PERSALDATA!$G$2:$G$20871,PERSALDATA!$A$2:$A$20871,WORKING!A3,PERSALDATA!$D$2:$D$20871,WORKING!B3,PERSALDATA!$E$2:$E$20871,WORKING!C3,PERSALDATA!$F$2:$F$20871,"S&amp;W: BASIC SALARY (RES)")</f>
        <v>319</v>
      </c>
      <c r="AC3" s="2">
        <f>SUMIFS(PERSALDATA!$H$2:$H$20871,PERSALDATA!$A$2:$A$20871,WORKING!A3,PERSALDATA!$D$2:$D$20871,WORKING!B3,PERSALDATA!$E$2:$E$20871,WORKING!C3)</f>
        <v>299939747.86999989</v>
      </c>
    </row>
    <row r="4" spans="1:29" x14ac:dyDescent="0.25">
      <c r="A4" s="2">
        <f>Results!$D$3</f>
        <v>23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0.6392194325951388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5.4408287812355426E-2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0.11615001736756508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2.4769283478892402E-3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9.9741338584965575E-2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8.3507590426828801E-2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3.5126796751219411E-4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1.3973345368728932E-3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2.5455564563506851E-3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3.5956986747236138E-5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8.7633564815543382E-5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7.8655352958593611E-5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6.856897742025457E-2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7.033461990509883E-2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6.9334619905098857E-2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6.7334619905098855E-2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1.0188845889039446E-2</v>
      </c>
      <c r="AB4" s="2">
        <f>SUMIFS(PERSALDATA!$G$2:$G$20871,PERSALDATA!$A$2:$A$20871,WORKING!A4,PERSALDATA!$D$2:$D$20871,WORKING!B4,PERSALDATA!$E$2:$E$20871,WORKING!C4,PERSALDATA!$F$2:$F$20871,"S&amp;W: BASIC SALARY (RES)")</f>
        <v>3434</v>
      </c>
      <c r="AC4" s="2">
        <f>SUMIFS(PERSALDATA!$H$2:$H$20871,PERSALDATA!$A$2:$A$20871,WORKING!A4,PERSALDATA!$D$2:$D$20871,WORKING!B4,PERSALDATA!$E$2:$E$20871,WORKING!C4)</f>
        <v>196876619.54999998</v>
      </c>
    </row>
    <row r="5" spans="1:29" x14ac:dyDescent="0.25">
      <c r="A5" s="2">
        <f>Results!$D$3</f>
        <v>23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0.67018835441096303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5.4977740273903938E-2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8.127517688026939E-2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1.9215725935330199E-3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8.1400255403970487E-2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8.7728186618448833E-2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3.276959231557442E-4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5.2539345968874258E-3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1.4764015076113092E-2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6.5986445981276826E-6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2.1564695781570949E-3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7.0962690132755135E-2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7.0408252062256899E-2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6.940825206225687E-2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6.7408252062256882E-2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1.0880959333303859E-2</v>
      </c>
      <c r="AB5" s="2">
        <f>SUMIFS(PERSALDATA!$G$2:$G$20871,PERSALDATA!$A$2:$A$20871,WORKING!A5,PERSALDATA!$D$2:$D$20871,WORKING!B5,PERSALDATA!$E$2:$E$20871,WORKING!C5,PERSALDATA!$F$2:$F$20871,"S&amp;W: BASIC SALARY (RES)")</f>
        <v>4343</v>
      </c>
      <c r="AC5" s="2">
        <f>SUMIFS(PERSALDATA!$H$2:$H$20871,PERSALDATA!$A$2:$A$20871,WORKING!A5,PERSALDATA!$D$2:$D$20871,WORKING!B5,PERSALDATA!$E$2:$E$20871,WORKING!C5)</f>
        <v>670592260.90999985</v>
      </c>
    </row>
    <row r="6" spans="1:29" x14ac:dyDescent="0.25">
      <c r="A6" s="2">
        <f>Results!$D$3</f>
        <v>23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0.68195878220364792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5.8827633564008344E-2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7.5952584137954082E-2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1.0339815466484869E-2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7.7171053597372252E-2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8.8754989236152784E-2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2.6593572542712133E-4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2.1457308568940039E-3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3.0587499380246947E-3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1.5247252740339709E-3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7.1307998355878699E-2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7.0398039962581052E-2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6.9398039962581065E-2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6.7398039962581036E-2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1.1005935545010205E-2</v>
      </c>
      <c r="AB6" s="2">
        <f>SUMIFS(PERSALDATA!$G$2:$G$20871,PERSALDATA!$A$2:$A$20871,WORKING!A6,PERSALDATA!$D$2:$D$20871,WORKING!B6,PERSALDATA!$E$2:$E$20871,WORKING!C6,PERSALDATA!$F$2:$F$20871,"S&amp;W: BASIC SALARY (RES)")</f>
        <v>428</v>
      </c>
      <c r="AC6" s="2">
        <f>SUMIFS(PERSALDATA!$H$2:$H$20871,PERSALDATA!$A$2:$A$20871,WORKING!A6,PERSALDATA!$D$2:$D$20871,WORKING!B6,PERSALDATA!$E$2:$E$20871,WORKING!C6)</f>
        <v>48681687.949999996</v>
      </c>
    </row>
    <row r="7" spans="1:29" x14ac:dyDescent="0.25">
      <c r="A7" s="2">
        <f>Results!$D$3</f>
        <v>23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0.70718280749473206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5.7124012924336096E-2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6.1569384458597783E-2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7.4616937534335223E-3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6.9883555860260585E-2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9.4268782168785412E-2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2.5259910487106458E-4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1.091612666192553E-3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8.5661722321468724E-4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1.9485486857758347E-6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1.6289908641497656E-4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1.4408671047520675E-4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7.2299096563190182E-2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7.043255949331792E-2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6.9432559493317919E-2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6.7432559493317917E-2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1.1287827987491512E-2</v>
      </c>
      <c r="AB7" s="2">
        <f>SUMIFS(PERSALDATA!$G$2:$G$20871,PERSALDATA!$A$2:$A$20871,WORKING!A7,PERSALDATA!$D$2:$D$20871,WORKING!B7,PERSALDATA!$E$2:$E$20871,WORKING!C7,PERSALDATA!$F$2:$F$20871,"S&amp;W: BASIC SALARY (RES)")</f>
        <v>13089</v>
      </c>
      <c r="AC7" s="2">
        <f>SUMIFS(PERSALDATA!$H$2:$H$20871,PERSALDATA!$A$2:$A$20871,WORKING!A7,PERSALDATA!$D$2:$D$20871,WORKING!B7,PERSALDATA!$E$2:$E$20871,WORKING!C7)</f>
        <v>2536729020.9800005</v>
      </c>
    </row>
    <row r="8" spans="1:29" x14ac:dyDescent="0.25">
      <c r="A8" s="2">
        <f>Results!$D$3</f>
        <v>23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0.73858788130843278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6.1966885326830236E-2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4.6088688630605022E-2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7.2820465778663298E-3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3.6302590088499918E-2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0.10504360155275598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2.0018394434041659E-4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2.7270881518535288E-3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7.909167684835342E-4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8.8791812185641061E-4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1.2219952847562061E-4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7.3005495925312996E-2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7.0083651965021435E-2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6.9083651965021434E-2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6.7083651965021446E-2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1.1926310985375204E-2</v>
      </c>
      <c r="AB8" s="2">
        <f>SUMIFS(PERSALDATA!$G$2:$G$20871,PERSALDATA!$A$2:$A$20871,WORKING!A8,PERSALDATA!$D$2:$D$20871,WORKING!B8,PERSALDATA!$E$2:$E$20871,WORKING!C8,PERSALDATA!$F$2:$F$20871,"S&amp;W: BASIC SALARY (RES)")</f>
        <v>2577</v>
      </c>
      <c r="AC8" s="2">
        <f>SUMIFS(PERSALDATA!$H$2:$H$20871,PERSALDATA!$A$2:$A$20871,WORKING!A8,PERSALDATA!$D$2:$D$20871,WORKING!B8,PERSALDATA!$E$2:$E$20871,WORKING!C8)</f>
        <v>643330714.78000021</v>
      </c>
    </row>
    <row r="9" spans="1:29" x14ac:dyDescent="0.25">
      <c r="A9" s="2">
        <f>Results!$D$3</f>
        <v>23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0.75937776667196655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6.3714533494325321E-2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3.4782865591810479E-2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6.6251617455319184E-3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1.5233235002972538E-2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0.11491070395530513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1.5363587370700421E-4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2.9168214812453422E-3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7.5017735515658045E-4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1.4315735523320731E-3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1.0352527564717076E-4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7.3569767505064013E-2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6.9880669869126499E-2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6.8880669869126498E-2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6.6880669869126483E-2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1.2347793425909628E-2</v>
      </c>
      <c r="AB9" s="2">
        <f>SUMIFS(PERSALDATA!$G$2:$G$20871,PERSALDATA!$A$2:$A$20871,WORKING!A9,PERSALDATA!$D$2:$D$20871,WORKING!B9,PERSALDATA!$E$2:$E$20871,WORKING!C9,PERSALDATA!$F$2:$F$20871,"S&amp;W: BASIC SALARY (RES)")</f>
        <v>4991</v>
      </c>
      <c r="AC9" s="2">
        <f>SUMIFS(PERSALDATA!$H$2:$H$20871,PERSALDATA!$A$2:$A$20871,WORKING!A9,PERSALDATA!$D$2:$D$20871,WORKING!B9,PERSALDATA!$E$2:$E$20871,WORKING!C9)</f>
        <v>1634276643.4799998</v>
      </c>
    </row>
    <row r="10" spans="1:29" x14ac:dyDescent="0.25">
      <c r="A10" s="2">
        <f>Results!$D$3</f>
        <v>23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0.77169329812910481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6.4875565572446059E-2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2.7104426922048442E-2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5.9047902243965387E-3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8.3731510893717627E-4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0.12382548794850153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1.2354853690521486E-4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1.6510254993796327E-3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1.0051200716085572E-3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4.2972641046591001E-5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2.7126257112671261E-3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2.2382363435840213E-4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7.3951785965449449E-2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6.9741515457413583E-2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6.8741515457413582E-2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6.6741515457413567E-2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1.263515122261742E-2</v>
      </c>
      <c r="AB10" s="2">
        <f>SUMIFS(PERSALDATA!$G$2:$G$20871,PERSALDATA!$A$2:$A$20871,WORKING!A10,PERSALDATA!$D$2:$D$20871,WORKING!B10,PERSALDATA!$E$2:$E$20871,WORKING!C10,PERSALDATA!$F$2:$F$20871,"S&amp;W: BASIC SALARY (RES)")</f>
        <v>4380</v>
      </c>
      <c r="AC10" s="2">
        <f>SUMIFS(PERSALDATA!$H$2:$H$20871,PERSALDATA!$A$2:$A$20871,WORKING!A10,PERSALDATA!$D$2:$D$20871,WORKING!B10,PERSALDATA!$E$2:$E$20871,WORKING!C10)</f>
        <v>1769112815.6999998</v>
      </c>
    </row>
    <row r="11" spans="1:29" x14ac:dyDescent="0.25">
      <c r="A11" s="2">
        <f>Results!$D$3</f>
        <v>23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0.7172095837234993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6.0000956982907999E-2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2.4587057299276491E-2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3.7918842740758078E-3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4.13968641220911E-2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9.3236803089365591E-2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1.1225812920623369E-4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5.9664592379577622E-2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7.4710939742964277E-2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7.0375082388838633E-2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6.9375082388838633E-2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6.7375082388838617E-2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1.214074966584254E-2</v>
      </c>
      <c r="AB11" s="2">
        <f>SUMIFS(PERSALDATA!$G$2:$G$20871,PERSALDATA!$A$2:$A$20871,WORKING!A11,PERSALDATA!$D$2:$D$20871,WORKING!B11,PERSALDATA!$E$2:$E$20871,WORKING!C11,PERSALDATA!$F$2:$F$20871,"S&amp;W: BASIC SALARY (RES)")</f>
        <v>4</v>
      </c>
      <c r="AC11" s="2">
        <f>SUMIFS(PERSALDATA!$H$2:$H$20871,PERSALDATA!$A$2:$A$20871,WORKING!A11,PERSALDATA!$D$2:$D$20871,WORKING!B11,PERSALDATA!$E$2:$E$20871,WORKING!C11)</f>
        <v>2196277.4699999997</v>
      </c>
    </row>
    <row r="12" spans="1:29" x14ac:dyDescent="0.25">
      <c r="A12" s="2">
        <f>Results!$D$3</f>
        <v>23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0.77628477564385356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6.538569064423079E-2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2.1708202907547627E-2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4.661378007417988E-3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-3.7020240252422377E-7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0.12500526863029937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9.6929453970708268E-5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1.5751023832342298E-3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2.0799868396563729E-3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8.7505879579839014E-5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2.8052855356698199E-3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3.102442769421702E-4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7.4350171396192738E-2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6.978291241788849E-2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6.8782912417888489E-2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6.6782912417888488E-2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1.2716538091931495E-2</v>
      </c>
      <c r="AB12" s="2">
        <f>SUMIFS(PERSALDATA!$G$2:$G$20871,PERSALDATA!$A$2:$A$20871,WORKING!A12,PERSALDATA!$D$2:$D$20871,WORKING!B12,PERSALDATA!$E$2:$E$20871,WORKING!C12,PERSALDATA!$F$2:$F$20871,"S&amp;W: BASIC SALARY (RES)")</f>
        <v>2334</v>
      </c>
      <c r="AC12" s="2">
        <f>SUMIFS(PERSALDATA!$H$2:$H$20871,PERSALDATA!$A$2:$A$20871,WORKING!A12,PERSALDATA!$D$2:$D$20871,WORKING!B12,PERSALDATA!$E$2:$E$20871,WORKING!C12)</f>
        <v>1107502266.8799999</v>
      </c>
    </row>
    <row r="13" spans="1:29" x14ac:dyDescent="0.25">
      <c r="A13" s="2">
        <f>Results!$D$3</f>
        <v>23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0.65274114877743483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5.7542992923436592E-2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2.9992486393395346E-2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8.5992097184800526E-2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7.6372051095227746E-5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9.9867439899663915E-2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7.378746277017359E-2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1.2609104840221623E-2</v>
      </c>
      <c r="AB13" s="2">
        <f>SUMIFS(PERSALDATA!$G$2:$G$20871,PERSALDATA!$A$2:$A$20871,WORKING!A13,PERSALDATA!$D$2:$D$20871,WORKING!B13,PERSALDATA!$E$2:$E$20871,WORKING!C13,PERSALDATA!$F$2:$F$20871,"S&amp;W: BASIC SALARY (RES)")</f>
        <v>2</v>
      </c>
      <c r="AC13" s="2">
        <f>SUMIFS(PERSALDATA!$H$2:$H$20871,PERSALDATA!$A$2:$A$20871,WORKING!A13,PERSALDATA!$D$2:$D$20871,WORKING!B13,PERSALDATA!$E$2:$E$20871,WORKING!C13)</f>
        <v>1775911.45</v>
      </c>
    </row>
    <row r="14" spans="1:29" x14ac:dyDescent="0.25">
      <c r="A14" s="2">
        <f>Results!$D$3</f>
        <v>23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0.75006374590647029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4.3789791113316781E-2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5.2856307767526717E-4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2.7364536219374939E-3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0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0.12005412661251708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6.8597023334024458E-5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7.5696259962616252E-2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4.208657748438106E-3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4.367876639078741E-4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1.9459027686875255E-3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4.7111450109947855E-4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1.2992236918686881E-2</v>
      </c>
      <c r="AB14" s="2">
        <f>SUMIFS(PERSALDATA!$G$2:$G$20871,PERSALDATA!$A$2:$A$20871,WORKING!A14,PERSALDATA!$D$2:$D$20871,WORKING!B14,PERSALDATA!$E$2:$E$20871,WORKING!C14,PERSALDATA!$F$2:$F$20871,"S&amp;W: BASIC SALARY (RES)")</f>
        <v>755</v>
      </c>
      <c r="AC14" s="2">
        <f>SUMIFS(PERSALDATA!$H$2:$H$20871,PERSALDATA!$A$2:$A$20871,WORKING!A14,PERSALDATA!$D$2:$D$20871,WORKING!B14,PERSALDATA!$E$2:$E$20871,WORKING!C14)</f>
        <v>546150520.51999938</v>
      </c>
    </row>
    <row r="15" spans="1:29" x14ac:dyDescent="0.25">
      <c r="A15" s="2">
        <f>Results!$D$3</f>
        <v>23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0.6560114590587518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4.5083451056525892E-2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2.0303790290230402E-3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1.304063569111223E-4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0.10434720016005467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5.1157593010064378E-5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0.18339195969121436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6.2524844424165643E-3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3.9606493443341704E-4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1.9941061846203254E-3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3.1133149303876696E-4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1.2971244741273723E-2</v>
      </c>
      <c r="AB15" s="2">
        <f>SUMIFS(PERSALDATA!$G$2:$G$20871,PERSALDATA!$A$2:$A$20871,WORKING!A15,PERSALDATA!$D$2:$D$20871,WORKING!B15,PERSALDATA!$E$2:$E$20871,WORKING!C15,PERSALDATA!$F$2:$F$20871,"S&amp;W: BASIC SALARY (RES)")</f>
        <v>217</v>
      </c>
      <c r="AC15" s="2">
        <f>SUMIFS(PERSALDATA!$H$2:$H$20871,PERSALDATA!$A$2:$A$20871,WORKING!A15,PERSALDATA!$D$2:$D$20871,WORKING!B15,PERSALDATA!$E$2:$E$20871,WORKING!C15)</f>
        <v>209184587.6700002</v>
      </c>
    </row>
    <row r="16" spans="1:29" x14ac:dyDescent="0.25">
      <c r="A16" s="2">
        <f>Results!$D$3</f>
        <v>23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0.63890752363555736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4.1020616429016638E-2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6.029619019674963E-3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6.8414500772259702E-4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9.5639102773339868E-2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4.2101913328067048E-5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0.18113764981693145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3.0520360623907571E-2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3.5000968941057051E-3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1.5168531285132967E-3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1.0019307579024897E-3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1.2912173742770565E-2</v>
      </c>
      <c r="AB16" s="2">
        <f>SUMIFS(PERSALDATA!$G$2:$G$20871,PERSALDATA!$A$2:$A$20871,WORKING!A16,PERSALDATA!$D$2:$D$20871,WORKING!B16,PERSALDATA!$E$2:$E$20871,WORKING!C16,PERSALDATA!$F$2:$F$20871,"S&amp;W: BASIC SALARY (RES)")</f>
        <v>38</v>
      </c>
      <c r="AC16" s="2">
        <f>SUMIFS(PERSALDATA!$H$2:$H$20871,PERSALDATA!$A$2:$A$20871,WORKING!A16,PERSALDATA!$D$2:$D$20871,WORKING!B16,PERSALDATA!$E$2:$E$20871,WORKING!C16)</f>
        <v>50749475.050000004</v>
      </c>
    </row>
    <row r="17" spans="1:29" x14ac:dyDescent="0.25">
      <c r="A17" s="2">
        <f>Results!$D$3</f>
        <v>23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0.662835412610425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5.2419702126522236E-2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5.1259642116837185E-3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0.10573357815832435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3.1732330964231472E-5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0.17096210117104282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-4.2206856632624116E-4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3.3135779573640659E-3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1.2932949944945578E-2</v>
      </c>
      <c r="AB17" s="2">
        <f>SUMIFS(PERSALDATA!$G$2:$G$20871,PERSALDATA!$A$2:$A$20871,WORKING!A17,PERSALDATA!$D$2:$D$20871,WORKING!B17,PERSALDATA!$E$2:$E$20871,WORKING!C17,PERSALDATA!$F$2:$F$20871,"S&amp;W: BASIC SALARY (RES)")</f>
        <v>12</v>
      </c>
      <c r="AC17" s="2">
        <f>SUMIFS(PERSALDATA!$H$2:$H$20871,PERSALDATA!$A$2:$A$20871,WORKING!A17,PERSALDATA!$D$2:$D$20871,WORKING!B17,PERSALDATA!$E$2:$E$20871,WORKING!C17)</f>
        <v>19429710.369999997</v>
      </c>
    </row>
    <row r="18" spans="1:29" x14ac:dyDescent="0.25">
      <c r="A18" s="2">
        <f>Results!$D$3</f>
        <v>23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0.61205591353054234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1.6738089674842631E-2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1.0188254741107058E-2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0.12399362813337439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7.8275964082531095E-6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0.23701628632372546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1.2867450929612301E-2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6300784.7399999993</v>
      </c>
    </row>
    <row r="19" spans="1:29" x14ac:dyDescent="0.25">
      <c r="A19" s="2">
        <f>Results!$D$3</f>
        <v>23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23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0.9188478273885452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1.2614370726571239E-2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2.2252295467695481E-2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1.3953123913422326E-3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2.3690865763759745E-2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2.0684061177855487E-2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1.0577495766985147E-4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7.8918594562093358E-5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1.9928417599574894E-4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1.3128935600303574E-4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7.4640497665147798E-2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7.0132840031779442E-2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6.9132840031779469E-2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6.7132840031779467E-2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1.2401363829541375E-2</v>
      </c>
      <c r="AB20" s="2">
        <f>SUMIFS(PERSALDATA!$G$2:$G$20871,PERSALDATA!$A$2:$A$20871,WORKING!A20,PERSALDATA!$D$2:$D$20871,WORKING!B20,PERSALDATA!$E$2:$E$20871,WORKING!C20,PERSALDATA!$F$2:$F$20871,"S&amp;W: BASIC SALARY (RES)")</f>
        <v>4096</v>
      </c>
      <c r="AC20" s="2">
        <f>SUMIFS(PERSALDATA!$H$2:$H$20871,PERSALDATA!$A$2:$A$20871,WORKING!A20,PERSALDATA!$D$2:$D$20871,WORKING!B20,PERSALDATA!$E$2:$E$20871,WORKING!C20)</f>
        <v>159952037.54000002</v>
      </c>
    </row>
    <row r="21" spans="1:29" x14ac:dyDescent="0.25">
      <c r="A21" s="2">
        <f>Results!$D$3</f>
        <v>23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0.63557132340790579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5.2761822314529867E-2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0.12666618603297139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1.1497180657145481E-2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8.9163214461962945E-2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8.2770043139100205E-2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3.3854768620495323E-4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1.0963888126948014E-4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3.2258428954099242E-4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7.9945912936892375E-4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6.7621654863961669E-2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7.0070786356599746E-2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6.9070786356599745E-2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6.7070786356599729E-2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1.0189816673645191E-2</v>
      </c>
      <c r="AB21" s="2">
        <f>SUMIFS(PERSALDATA!$G$2:$G$20871,PERSALDATA!$A$2:$A$20871,WORKING!A21,PERSALDATA!$D$2:$D$20871,WORKING!B21,PERSALDATA!$E$2:$E$20871,WORKING!C21,PERSALDATA!$F$2:$F$20871,"S&amp;W: BASIC SALARY (RES)")</f>
        <v>470</v>
      </c>
      <c r="AC21" s="2">
        <f>SUMIFS(PERSALDATA!$H$2:$H$20871,PERSALDATA!$A$2:$A$20871,WORKING!A21,PERSALDATA!$D$2:$D$20871,WORKING!B21,PERSALDATA!$E$2:$E$20871,WORKING!C21)</f>
        <v>20941658.41</v>
      </c>
    </row>
    <row r="22" spans="1:29" x14ac:dyDescent="0.25">
      <c r="A22" s="2">
        <f>Results!$D$3</f>
        <v>23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0.68654173632832904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4.1832827454230462E-2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7.6727333361324715E-2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4.0529702809978191E-3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4.2904563643264546E-2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0.10329959228761697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3.1251488012641376E-4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2.030585990485544E-2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2.3552238549006239E-2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4.7036331024838618E-4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7.0769386555545016E-2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6.9876295121035728E-2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6.8876295121035727E-2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6.6876295121035711E-2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1.1440722645498697E-2</v>
      </c>
      <c r="AB22" s="2">
        <f>SUMIFS(PERSALDATA!$G$2:$G$20871,PERSALDATA!$A$2:$A$20871,WORKING!A22,PERSALDATA!$D$2:$D$20871,WORKING!B22,PERSALDATA!$E$2:$E$20871,WORKING!C22,PERSALDATA!$F$2:$F$20871,"S&amp;W: BASIC SALARY (RES)")</f>
        <v>1838</v>
      </c>
      <c r="AC22" s="2">
        <f>SUMIFS(PERSALDATA!$H$2:$H$20871,PERSALDATA!$A$2:$A$20871,WORKING!A22,PERSALDATA!$D$2:$D$20871,WORKING!B22,PERSALDATA!$E$2:$E$20871,WORKING!C22)</f>
        <v>239193826.45000002</v>
      </c>
    </row>
    <row r="23" spans="1:29" x14ac:dyDescent="0.25">
      <c r="A23" s="2">
        <f>Results!$D$3</f>
        <v>23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0.67601742159528588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5.7171479236569428E-2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6.9597347724667427E-2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3.7585185887069439E-2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6.5727168723409765E-2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8.79394673787708E-2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2.650125567175248E-4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2.283187518951946E-3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3.4137293785576109E-3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7.1630781935052998E-2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7.0289934053604466E-2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6.9289934053604452E-2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6.7289934053604464E-2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1.1237336122937668E-2</v>
      </c>
      <c r="AB23" s="2">
        <f>SUMIFS(PERSALDATA!$G$2:$G$20871,PERSALDATA!$A$2:$A$20871,WORKING!A23,PERSALDATA!$D$2:$D$20871,WORKING!B23,PERSALDATA!$E$2:$E$20871,WORKING!C23,PERSALDATA!$F$2:$F$20871,"S&amp;W: BASIC SALARY (RES)")</f>
        <v>57</v>
      </c>
      <c r="AC23" s="2">
        <f>SUMIFS(PERSALDATA!$H$2:$H$20871,PERSALDATA!$A$2:$A$20871,WORKING!A23,PERSALDATA!$D$2:$D$20871,WORKING!B23,PERSALDATA!$E$2:$E$20871,WORKING!C23)</f>
        <v>8281833.9900000012</v>
      </c>
    </row>
    <row r="24" spans="1:29" x14ac:dyDescent="0.25">
      <c r="A24" s="2">
        <f>Results!$D$3</f>
        <v>23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0.69828686670418039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5.8077679523447549E-2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5.6388698189755553E-2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9.082952215497965E-3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9.1057255652843613E-3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0.10959155654601629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2.3403296546244468E-4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3.2166281345174214E-2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2.6984265918530141E-2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3.7763165554621608E-6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7.2213958573323924E-6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7.0943314238424075E-5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7.1841939095492566E-2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6.9572698901581742E-2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6.8572698901581727E-2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6.6572698901581739E-2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1.2145530062633469E-2</v>
      </c>
      <c r="AB24" s="2">
        <f>SUMIFS(PERSALDATA!$G$2:$G$20871,PERSALDATA!$A$2:$A$20871,WORKING!A24,PERSALDATA!$D$2:$D$20871,WORKING!B24,PERSALDATA!$E$2:$E$20871,WORKING!C24,PERSALDATA!$F$2:$F$20871,"S&amp;W: BASIC SALARY (RES)")</f>
        <v>52351</v>
      </c>
      <c r="AC24" s="2">
        <f>SUMIFS(PERSALDATA!$H$2:$H$20871,PERSALDATA!$A$2:$A$20871,WORKING!A24,PERSALDATA!$D$2:$D$20871,WORKING!B24,PERSALDATA!$E$2:$E$20871,WORKING!C24)</f>
        <v>11460154191.1</v>
      </c>
    </row>
    <row r="25" spans="1:29" x14ac:dyDescent="0.25">
      <c r="A25" s="2">
        <f>Results!$D$3</f>
        <v>23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0.72121576127337117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6.0138687224822768E-2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4.1305409923518464E-2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1.1473640196689394E-2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2.3528599800068865E-3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0.11527022639377819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1.8543065661517306E-4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2.6995413360926389E-2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2.0602735878075835E-2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3.2067349411940072E-4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1.3916161807617651E-4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7.2893728885532666E-2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6.962223880046492E-2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6.8622238800464933E-2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6.6622238800464931E-2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1.243003189271817E-2</v>
      </c>
      <c r="AB25" s="2">
        <f>SUMIFS(PERSALDATA!$G$2:$G$20871,PERSALDATA!$A$2:$A$20871,WORKING!A25,PERSALDATA!$D$2:$D$20871,WORKING!B25,PERSALDATA!$E$2:$E$20871,WORKING!C25,PERSALDATA!$F$2:$F$20871,"S&amp;W: BASIC SALARY (RES)")</f>
        <v>11805</v>
      </c>
      <c r="AC25" s="2">
        <f>SUMIFS(PERSALDATA!$H$2:$H$20871,PERSALDATA!$A$2:$A$20871,WORKING!A25,PERSALDATA!$D$2:$D$20871,WORKING!B25,PERSALDATA!$E$2:$E$20871,WORKING!C25)</f>
        <v>3214476995.7700005</v>
      </c>
    </row>
    <row r="26" spans="1:29" x14ac:dyDescent="0.25">
      <c r="A26" s="2">
        <f>Results!$D$3</f>
        <v>23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0.73730054307695303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6.1721041894413999E-2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3.091216633197659E-2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8.4473443029844386E-3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6.0384660467800385E-4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0.12019562274252794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1.3781521674629591E-4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2.1966818005634568E-2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1.6251753248988702E-2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-2.0708171926962783E-6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2.3456650226180717E-3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1.1945436967117217E-4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7.3659129211235283E-2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6.9699936035750434E-2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6.869993603575042E-2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6.6699936035750418E-2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1.2588500234005788E-2</v>
      </c>
      <c r="AB26" s="2">
        <f>SUMIFS(PERSALDATA!$G$2:$G$20871,PERSALDATA!$A$2:$A$20871,WORKING!A26,PERSALDATA!$D$2:$D$20871,WORKING!B26,PERSALDATA!$E$2:$E$20871,WORKING!C26,PERSALDATA!$F$2:$F$20871,"S&amp;W: BASIC SALARY (RES)")</f>
        <v>19484</v>
      </c>
      <c r="AC26" s="2">
        <f>SUMIFS(PERSALDATA!$H$2:$H$20871,PERSALDATA!$A$2:$A$20871,WORKING!A26,PERSALDATA!$D$2:$D$20871,WORKING!B26,PERSALDATA!$E$2:$E$20871,WORKING!C26)</f>
        <v>6792072255.1499987</v>
      </c>
    </row>
    <row r="27" spans="1:29" x14ac:dyDescent="0.25">
      <c r="A27" s="2">
        <f>Results!$D$3</f>
        <v>23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0.74629418019857485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6.2733370598332117E-2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2.4769634902933713E-2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8.8063208437324462E-3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1.5308308876917024E-5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0.12164140391360559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0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1.1754845995705609E-4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1.7699770166304384E-2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1.3112663784844655E-2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6.0841009810978977E-5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4.1437247713285259E-3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6.052330416986885E-4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7.4117722063701305E-2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6.9752533275603823E-2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6.875253327560378E-2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6.6752533275603834E-2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1.267626760826702E-2</v>
      </c>
      <c r="AB27" s="2">
        <f>SUMIFS(PERSALDATA!$G$2:$G$20871,PERSALDATA!$A$2:$A$20871,WORKING!A27,PERSALDATA!$D$2:$D$20871,WORKING!B27,PERSALDATA!$E$2:$E$20871,WORKING!C27,PERSALDATA!$F$2:$F$20871,"S&amp;W: BASIC SALARY (RES)")</f>
        <v>5866</v>
      </c>
      <c r="AC27" s="2">
        <f>SUMIFS(PERSALDATA!$H$2:$H$20871,PERSALDATA!$A$2:$A$20871,WORKING!A27,PERSALDATA!$D$2:$D$20871,WORKING!B27,PERSALDATA!$E$2:$E$20871,WORKING!C27)</f>
        <v>2405553761.4299998</v>
      </c>
    </row>
    <row r="28" spans="1:29" x14ac:dyDescent="0.25">
      <c r="A28" s="2">
        <f>Results!$D$3</f>
        <v>23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0.7882189521764279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3.0513998127118604E-2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7.8658306283239068E-2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0.10246770093298245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1.4104248023201488E-4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7.4782152430304324E-2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7.08747346129774E-2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6.9874734612977413E-2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6.7874734612977397E-2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1.1578926490422334E-2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29494.66</v>
      </c>
    </row>
    <row r="29" spans="1:29" x14ac:dyDescent="0.25">
      <c r="A29" s="2">
        <f>Results!$D$3</f>
        <v>23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0.75693699645546464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6.4510039954680895E-2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1.9221027645780708E-2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9.3695539043471294E-3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0.12248527389139155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9.2086667975186529E-5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1.2080095705655601E-2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1.1163547905231188E-2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2.3553603213528863E-4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3.2891484572955473E-3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6.1669338004228472E-4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7.453920189892066E-2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6.9807789723542221E-2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6.8807789723542206E-2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6.6807789723542205E-2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1.2748929513921174E-2</v>
      </c>
      <c r="AB29" s="2">
        <f>SUMIFS(PERSALDATA!$G$2:$G$20871,PERSALDATA!$A$2:$A$20871,WORKING!A29,PERSALDATA!$D$2:$D$20871,WORKING!B29,PERSALDATA!$E$2:$E$20871,WORKING!C29,PERSALDATA!$F$2:$F$20871,"S&amp;W: BASIC SALARY (RES)")</f>
        <v>1940</v>
      </c>
      <c r="AC29" s="2">
        <f>SUMIFS(PERSALDATA!$H$2:$H$20871,PERSALDATA!$A$2:$A$20871,WORKING!A29,PERSALDATA!$D$2:$D$20871,WORKING!B29,PERSALDATA!$E$2:$E$20871,WORKING!C29)</f>
        <v>930310780.96000004</v>
      </c>
    </row>
    <row r="30" spans="1:29" x14ac:dyDescent="0.25">
      <c r="A30" s="2">
        <f>Results!$D$3</f>
        <v>23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1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0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0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1.2999999999999999E-2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45000</v>
      </c>
    </row>
    <row r="31" spans="1:29" x14ac:dyDescent="0.25">
      <c r="A31" s="2">
        <f>Results!$D$3</f>
        <v>23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0.73854512396131522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4.3408759440430163E-2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7.3317470263825743E-4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5.8068776968330368E-3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0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0.11929678042500053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6.7717400822864078E-5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7.9423023932536238E-2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7.6565878650823923E-3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2.5552793858642713E-4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3.3405419433391306E-3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1.4658846934155775E-3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1.2989588402655001E-2</v>
      </c>
      <c r="AB31" s="2">
        <f>SUMIFS(PERSALDATA!$G$2:$G$20871,PERSALDATA!$A$2:$A$20871,WORKING!A31,PERSALDATA!$D$2:$D$20871,WORKING!B31,PERSALDATA!$E$2:$E$20871,WORKING!C31,PERSALDATA!$F$2:$F$20871,"S&amp;W: BASIC SALARY (RES)")</f>
        <v>595</v>
      </c>
      <c r="AC31" s="2">
        <f>SUMIFS(PERSALDATA!$H$2:$H$20871,PERSALDATA!$A$2:$A$20871,WORKING!A31,PERSALDATA!$D$2:$D$20871,WORKING!B31,PERSALDATA!$E$2:$E$20871,WORKING!C31)</f>
        <v>437367790.84999955</v>
      </c>
    </row>
    <row r="32" spans="1:29" x14ac:dyDescent="0.25">
      <c r="A32" s="2">
        <f>Results!$D$3</f>
        <v>23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0.65699986399938504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4.7461345901723663E-2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1.1344033545007072E-3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2.3555782412004433E-6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2.7295228750874198E-5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0.10604207683586953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5.1249794454928916E-5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0.18248779683969019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3.3530718672380717E-3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2.8858153549149261E-4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1.882091001518287E-3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2.6986806313603697E-4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1.2984231671089816E-2</v>
      </c>
      <c r="AB32" s="2">
        <f>SUMIFS(PERSALDATA!$G$2:$G$20871,PERSALDATA!$A$2:$A$20871,WORKING!A32,PERSALDATA!$D$2:$D$20871,WORKING!B32,PERSALDATA!$E$2:$E$20871,WORKING!C32,PERSALDATA!$F$2:$F$20871,"S&amp;W: BASIC SALARY (RES)")</f>
        <v>227</v>
      </c>
      <c r="AC32" s="2">
        <f>SUMIFS(PERSALDATA!$H$2:$H$20871,PERSALDATA!$A$2:$A$20871,WORKING!A32,PERSALDATA!$D$2:$D$20871,WORKING!B32,PERSALDATA!$E$2:$E$20871,WORKING!C32)</f>
        <v>219818637.71000031</v>
      </c>
    </row>
    <row r="33" spans="1:29" x14ac:dyDescent="0.25">
      <c r="A33" s="2">
        <f>Results!$D$3</f>
        <v>23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0.64896139909756223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5.1408111374298585E-2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5.0031532839421569E-3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0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0.1041997617578382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4.2767566002432015E-5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0.18081282957153977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7.2912616493296702E-3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6.0265127886807756E-4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1.387992590139995E-3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2.9007183047871128E-4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1.2934403028950716E-2</v>
      </c>
      <c r="AB33" s="2">
        <f>SUMIFS(PERSALDATA!$G$2:$G$20871,PERSALDATA!$A$2:$A$20871,WORKING!A33,PERSALDATA!$D$2:$D$20871,WORKING!B33,PERSALDATA!$E$2:$E$20871,WORKING!C33,PERSALDATA!$F$2:$F$20871,"S&amp;W: BASIC SALARY (RES)")</f>
        <v>81</v>
      </c>
      <c r="AC33" s="2">
        <f>SUMIFS(PERSALDATA!$H$2:$H$20871,PERSALDATA!$A$2:$A$20871,WORKING!A33,PERSALDATA!$D$2:$D$20871,WORKING!B33,PERSALDATA!$E$2:$E$20871,WORKING!C33)</f>
        <v>87646325.25000003</v>
      </c>
    </row>
    <row r="34" spans="1:29" x14ac:dyDescent="0.25">
      <c r="A34" s="2">
        <f>Results!$D$3</f>
        <v>23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0.63381515584753212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4.2787608255000054E-2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0.10141029310248552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3.1742378734711678E-5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0.21876720297087862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3.1879974453690473E-3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1.299958734907645E-2</v>
      </c>
      <c r="AB34" s="2">
        <f>SUMIFS(PERSALDATA!$G$2:$G$20871,PERSALDATA!$A$2:$A$20871,WORKING!A34,PERSALDATA!$D$2:$D$20871,WORKING!B34,PERSALDATA!$E$2:$E$20871,WORKING!C34,PERSALDATA!$F$2:$F$20871,"S&amp;W: BASIC SALARY (RES)")</f>
        <v>11</v>
      </c>
      <c r="AC34" s="2">
        <f>SUMIFS(PERSALDATA!$H$2:$H$20871,PERSALDATA!$A$2:$A$20871,WORKING!A34,PERSALDATA!$D$2:$D$20871,WORKING!B34,PERSALDATA!$E$2:$E$20871,WORKING!C34)</f>
        <v>13726444.499999998</v>
      </c>
    </row>
    <row r="35" spans="1:29" x14ac:dyDescent="0.25">
      <c r="A35" s="2">
        <f>Results!$D$3</f>
        <v>23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23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23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0.66209496549401037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5.3037677981228631E-2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9.2816562641114722E-2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4.5910137798446703E-3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0.10072165044774717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8.6297783882076276E-2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4.4034577397817151E-4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7.0356044345543725E-2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7.0582659130305078E-2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6.9582659130305077E-2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6.7582659130305076E-2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1.0478278734783077E-2</v>
      </c>
      <c r="AB37" s="2">
        <f>SUMIFS(PERSALDATA!$G$2:$G$20871,PERSALDATA!$A$2:$A$20871,WORKING!A37,PERSALDATA!$D$2:$D$20871,WORKING!B37,PERSALDATA!$E$2:$E$20871,WORKING!C37,PERSALDATA!$F$2:$F$20871,"S&amp;W: BASIC SALARY (RES)")</f>
        <v>14</v>
      </c>
      <c r="AC37" s="2">
        <f>SUMIFS(PERSALDATA!$H$2:$H$20871,PERSALDATA!$A$2:$A$20871,WORKING!A37,PERSALDATA!$D$2:$D$20871,WORKING!B37,PERSALDATA!$E$2:$E$20871,WORKING!C37)</f>
        <v>48117618.589999989</v>
      </c>
    </row>
    <row r="38" spans="1:29" x14ac:dyDescent="0.25">
      <c r="A38" s="2">
        <f>Results!$D$3</f>
        <v>23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0.6305591797525395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5.3642229066779415E-2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0.1379996142661763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1.0975306599560249E-2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8.323703372584311E-2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8.2120260155840077E-2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3.2489322870970074E-4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4.3838745057954605E-4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7.030957539721364E-4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6.6677347787932398E-2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6.9868559363225891E-2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6.8868559363225904E-2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6.6868559363225888E-2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1.0119699964130523E-2</v>
      </c>
      <c r="AB38" s="2">
        <f>SUMIFS(PERSALDATA!$G$2:$G$20871,PERSALDATA!$A$2:$A$20871,WORKING!A38,PERSALDATA!$D$2:$D$20871,WORKING!B38,PERSALDATA!$E$2:$E$20871,WORKING!C38,PERSALDATA!$F$2:$F$20871,"S&amp;W: BASIC SALARY (RES)")</f>
        <v>546</v>
      </c>
      <c r="AC38" s="2">
        <f>SUMIFS(PERSALDATA!$H$2:$H$20871,PERSALDATA!$A$2:$A$20871,WORKING!A38,PERSALDATA!$D$2:$D$20871,WORKING!B38,PERSALDATA!$E$2:$E$20871,WORKING!C38)</f>
        <v>19094980.91</v>
      </c>
    </row>
    <row r="39" spans="1:29" x14ac:dyDescent="0.25">
      <c r="A39" s="2">
        <f>Results!$D$3</f>
        <v>23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0.65164995015110183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5.3951626727224693E-2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8.466844184399229E-2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5.0116845908104064E-3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8.614984584034753E-2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8.5065854180604569E-2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0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3.2996208489341239E-4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8.9243326659128579E-3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2.3124492547561198E-2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1.1238093675509737E-3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7.077129626162143E-2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7.044556326916529E-2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6.9445563269165289E-2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6.7445563269165273E-2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1.0775072752999966E-2</v>
      </c>
      <c r="AB39" s="2">
        <f>SUMIFS(PERSALDATA!$G$2:$G$20871,PERSALDATA!$A$2:$A$20871,WORKING!A39,PERSALDATA!$D$2:$D$20871,WORKING!B39,PERSALDATA!$E$2:$E$20871,WORKING!C39,PERSALDATA!$F$2:$F$20871,"S&amp;W: BASIC SALARY (RES)")</f>
        <v>714</v>
      </c>
      <c r="AC39" s="2">
        <f>SUMIFS(PERSALDATA!$H$2:$H$20871,PERSALDATA!$A$2:$A$20871,WORKING!A39,PERSALDATA!$D$2:$D$20871,WORKING!B39,PERSALDATA!$E$2:$E$20871,WORKING!C39)</f>
        <v>110651773.86000003</v>
      </c>
    </row>
    <row r="40" spans="1:29" x14ac:dyDescent="0.25">
      <c r="A40" s="2">
        <f>Results!$D$3</f>
        <v>23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0.66141218285843473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5.3681748153253626E-2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7.1456582603391633E-2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2.4063545900642153E-2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9.0553524438868535E-2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8.6227734840023884E-2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2.622034647437672E-4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1.2342477740641617E-2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7.1837049064286396E-2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7.0643737040549104E-2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6.9643737040549103E-2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6.7643737040549115E-2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1.089045996340895E-2</v>
      </c>
      <c r="AB40" s="2">
        <f>SUMIFS(PERSALDATA!$G$2:$G$20871,PERSALDATA!$A$2:$A$20871,WORKING!A40,PERSALDATA!$D$2:$D$20871,WORKING!B40,PERSALDATA!$E$2:$E$20871,WORKING!C40,PERSALDATA!$F$2:$F$20871,"S&amp;W: BASIC SALARY (RES)")</f>
        <v>50</v>
      </c>
      <c r="AC40" s="2">
        <f>SUMIFS(PERSALDATA!$H$2:$H$20871,PERSALDATA!$A$2:$A$20871,WORKING!A40,PERSALDATA!$D$2:$D$20871,WORKING!B40,PERSALDATA!$E$2:$E$20871,WORKING!C40)</f>
        <v>7347118.7800000003</v>
      </c>
    </row>
    <row r="41" spans="1:29" x14ac:dyDescent="0.25">
      <c r="A41" s="2">
        <f>Results!$D$3</f>
        <v>23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0.71514680508446493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5.9279250025234986E-2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5.8142322472751314E-2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1.3383341541978443E-2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2.076927935215447E-2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0.10879575170988487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2.419554679457389E-4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2.0125451732148792E-2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3.9616430930066492E-3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8.662348301014296E-6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4.7057557400892079E-5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9.8479614727655257E-5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7.1871953403001038E-2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6.9730115965554784E-2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6.8730115965554783E-2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6.6730115965554782E-2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1.1971003755192925E-2</v>
      </c>
      <c r="AB41" s="2">
        <f>SUMIFS(PERSALDATA!$G$2:$G$20871,PERSALDATA!$A$2:$A$20871,WORKING!A41,PERSALDATA!$D$2:$D$20871,WORKING!B41,PERSALDATA!$E$2:$E$20871,WORKING!C41,PERSALDATA!$F$2:$F$20871,"S&amp;W: BASIC SALARY (RES)")</f>
        <v>15357</v>
      </c>
      <c r="AC41" s="2">
        <f>SUMIFS(PERSALDATA!$H$2:$H$20871,PERSALDATA!$A$2:$A$20871,WORKING!A41,PERSALDATA!$D$2:$D$20871,WORKING!B41,PERSALDATA!$E$2:$E$20871,WORKING!C41)</f>
        <v>3187022622.5800009</v>
      </c>
    </row>
    <row r="42" spans="1:29" x14ac:dyDescent="0.25">
      <c r="A42" s="2">
        <f>Results!$D$3</f>
        <v>23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0.73392844038706495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6.119775784083898E-2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4.4650237539312659E-2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1.2274609438005664E-2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7.6641540797072055E-3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0.1148445785368888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1.9300397782882694E-4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2.0934747833047634E-2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3.6809936551464146E-3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3.1164504255555668E-5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3.4029181095188675E-4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2.6002039695128843E-4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7.2713880104128104E-2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6.9668459935802493E-2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6.8668459935802478E-2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6.6668459935802463E-2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1.2317403857240965E-2</v>
      </c>
      <c r="AB42" s="2">
        <f>SUMIFS(PERSALDATA!$G$2:$G$20871,PERSALDATA!$A$2:$A$20871,WORKING!A42,PERSALDATA!$D$2:$D$20871,WORKING!B42,PERSALDATA!$E$2:$E$20871,WORKING!C42,PERSALDATA!$F$2:$F$20871,"S&amp;W: BASIC SALARY (RES)")</f>
        <v>5379</v>
      </c>
      <c r="AC42" s="2">
        <f>SUMIFS(PERSALDATA!$H$2:$H$20871,PERSALDATA!$A$2:$A$20871,WORKING!A42,PERSALDATA!$D$2:$D$20871,WORKING!B42,PERSALDATA!$E$2:$E$20871,WORKING!C42)</f>
        <v>1314137060.0400002</v>
      </c>
    </row>
    <row r="43" spans="1:29" x14ac:dyDescent="0.25">
      <c r="A43" s="2">
        <f>Results!$D$3</f>
        <v>23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0.74662037410182536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6.2156533381118484E-2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3.205688013343002E-2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1.122841557863866E-2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9.5130718570566924E-4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0.12017807998602692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1.4104500282191359E-4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2.2102159291224686E-2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2.3899146367600131E-3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1.7688643316735268E-5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1.9423349010162529E-3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2.1526715811532606E-4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7.3576995410459214E-2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6.9693700806451292E-2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6.8693700806451291E-2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6.6693700806451303E-2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1.2569059979814549E-2</v>
      </c>
      <c r="AB43" s="2">
        <f>SUMIFS(PERSALDATA!$G$2:$G$20871,PERSALDATA!$A$2:$A$20871,WORKING!A43,PERSALDATA!$D$2:$D$20871,WORKING!B43,PERSALDATA!$E$2:$E$20871,WORKING!C43,PERSALDATA!$F$2:$F$20871,"S&amp;W: BASIC SALARY (RES)")</f>
        <v>9995</v>
      </c>
      <c r="AC43" s="2">
        <f>SUMIFS(PERSALDATA!$H$2:$H$20871,PERSALDATA!$A$2:$A$20871,WORKING!A43,PERSALDATA!$D$2:$D$20871,WORKING!B43,PERSALDATA!$E$2:$E$20871,WORKING!C43)</f>
        <v>3545173526.1500001</v>
      </c>
    </row>
    <row r="44" spans="1:29" x14ac:dyDescent="0.25">
      <c r="A44" s="2">
        <f>Results!$D$3</f>
        <v>23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0.75461543231590411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6.3653128325448477E-2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2.6642636000420106E-2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8.557170286527839E-3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2.1883337785789147E-5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0.12177854244785434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0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1.2001826260172443E-4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1.8531694153609536E-2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1.6788414153434525E-3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2.1018557881437729E-5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4.141874177560032E-3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2.3776071906341078E-4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7.3975466030697101E-2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6.9733901890062622E-2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6.8733901890062621E-2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6.6733901890062605E-2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1.2651801011189503E-2</v>
      </c>
      <c r="AB44" s="2">
        <f>SUMIFS(PERSALDATA!$G$2:$G$20871,PERSALDATA!$A$2:$A$20871,WORKING!A44,PERSALDATA!$D$2:$D$20871,WORKING!B44,PERSALDATA!$E$2:$E$20871,WORKING!C44,PERSALDATA!$F$2:$F$20871,"S&amp;W: BASIC SALARY (RES)")</f>
        <v>4120</v>
      </c>
      <c r="AC44" s="2">
        <f>SUMIFS(PERSALDATA!$H$2:$H$20871,PERSALDATA!$A$2:$A$20871,WORKING!A44,PERSALDATA!$D$2:$D$20871,WORKING!B44,PERSALDATA!$E$2:$E$20871,WORKING!C44)</f>
        <v>1672413978.0799997</v>
      </c>
    </row>
    <row r="45" spans="1:29" x14ac:dyDescent="0.25">
      <c r="A45" s="2">
        <f>Results!$D$3</f>
        <v>23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23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0.76191737722518527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6.4252620046691342E-2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2.1038337590649398E-2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6.5952048994518024E-3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0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0.12305250494134873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9.4431910904676833E-5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1.5952455168928615E-2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2.9872203738291986E-3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1.6788963518455321E-4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3.4230298103519068E-3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5.1892839747462243E-4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7.4401086343110642E-2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6.9789616624093526E-2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6.8789616624093511E-2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6.6789616624093509E-2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1.27252739964798E-2</v>
      </c>
      <c r="AB46" s="2">
        <f>SUMIFS(PERSALDATA!$G$2:$G$20871,PERSALDATA!$A$2:$A$20871,WORKING!A46,PERSALDATA!$D$2:$D$20871,WORKING!B46,PERSALDATA!$E$2:$E$20871,WORKING!C46,PERSALDATA!$F$2:$F$20871,"S&amp;W: BASIC SALARY (RES)")</f>
        <v>1579</v>
      </c>
      <c r="AC46" s="2">
        <f>SUMIFS(PERSALDATA!$H$2:$H$20871,PERSALDATA!$A$2:$A$20871,WORKING!A46,PERSALDATA!$D$2:$D$20871,WORKING!B46,PERSALDATA!$E$2:$E$20871,WORKING!C46)</f>
        <v>759708125.27999973</v>
      </c>
    </row>
    <row r="47" spans="1:29" x14ac:dyDescent="0.25">
      <c r="A47" s="2">
        <f>Results!$D$3</f>
        <v>23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0.78123438268318834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6.5102865223599024E-2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0.12499716097117362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8.3907656459665484E-5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2.8581683465579481E-2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1.2998909200466025E-2</v>
      </c>
      <c r="AB47" s="2">
        <f>SUMIFS(PERSALDATA!$G$2:$G$20871,PERSALDATA!$A$2:$A$20871,WORKING!A47,PERSALDATA!$D$2:$D$20871,WORKING!B47,PERSALDATA!$E$2:$E$20871,WORKING!C47,PERSALDATA!$F$2:$F$20871,"S&amp;W: BASIC SALARY (RES)")</f>
        <v>1</v>
      </c>
      <c r="AC47" s="2">
        <f>SUMIFS(PERSALDATA!$H$2:$H$20871,PERSALDATA!$A$2:$A$20871,WORKING!A47,PERSALDATA!$D$2:$D$20871,WORKING!B47,PERSALDATA!$E$2:$E$20871,WORKING!C47)</f>
        <v>587789.02999999991</v>
      </c>
    </row>
    <row r="48" spans="1:29" x14ac:dyDescent="0.25">
      <c r="A48" s="2">
        <f>Results!$D$3</f>
        <v>23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0.74124287925613175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4.2592298759231324E-2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5.4018043859977978E-4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2.9246758419267439E-3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0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0.11886769955436437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6.7004417870846985E-5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8.7421485576166663E-2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3.8792845180482646E-3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2.405924108454361E-4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2.1275624821218476E-3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9.6336744693122754E-5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1.2992106596865885E-2</v>
      </c>
      <c r="AB48" s="2">
        <f>SUMIFS(PERSALDATA!$G$2:$G$20871,PERSALDATA!$A$2:$A$20871,WORKING!A48,PERSALDATA!$D$2:$D$20871,WORKING!B48,PERSALDATA!$E$2:$E$20871,WORKING!C48,PERSALDATA!$F$2:$F$20871,"S&amp;W: BASIC SALARY (RES)")</f>
        <v>453</v>
      </c>
      <c r="AC48" s="2">
        <f>SUMIFS(PERSALDATA!$H$2:$H$20871,PERSALDATA!$A$2:$A$20871,WORKING!A48,PERSALDATA!$D$2:$D$20871,WORKING!B48,PERSALDATA!$E$2:$E$20871,WORKING!C48)</f>
        <v>321546260.44999999</v>
      </c>
    </row>
    <row r="49" spans="1:29" x14ac:dyDescent="0.25">
      <c r="A49" s="2">
        <f>Results!$D$3</f>
        <v>23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0.66367300837987009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4.069909328588088E-2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3.2068963399398812E-3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0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0.10621751304342023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5.1430003279337441E-5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0.17306992961197259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1.092310379862549E-2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-7.6060496312575055E-6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2.1666315866429356E-3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1.2957641757538151E-2</v>
      </c>
      <c r="AB49" s="2">
        <f>SUMIFS(PERSALDATA!$G$2:$G$20871,PERSALDATA!$A$2:$A$20871,WORKING!A49,PERSALDATA!$D$2:$D$20871,WORKING!B49,PERSALDATA!$E$2:$E$20871,WORKING!C49,PERSALDATA!$F$2:$F$20871,"S&amp;W: BASIC SALARY (RES)")</f>
        <v>77</v>
      </c>
      <c r="AC49" s="2">
        <f>SUMIFS(PERSALDATA!$H$2:$H$20871,PERSALDATA!$A$2:$A$20871,WORKING!A49,PERSALDATA!$D$2:$D$20871,WORKING!B49,PERSALDATA!$E$2:$E$20871,WORKING!C49)</f>
        <v>68325875.479999974</v>
      </c>
    </row>
    <row r="50" spans="1:29" x14ac:dyDescent="0.25">
      <c r="A50" s="2">
        <f>Results!$D$3</f>
        <v>23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0.63112331755022821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4.6038472188958048E-2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7.6926042157366642E-3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0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0.103056752648196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4.283131843776617E-5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0.19443081395231956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1.6364341820495312E-2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1.2508663056284889E-3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1.2899439338055733E-2</v>
      </c>
      <c r="AB50" s="2">
        <f>SUMIFS(PERSALDATA!$G$2:$G$20871,PERSALDATA!$A$2:$A$20871,WORKING!A50,PERSALDATA!$D$2:$D$20871,WORKING!B50,PERSALDATA!$E$2:$E$20871,WORKING!C50,PERSALDATA!$F$2:$F$20871,"S&amp;W: BASIC SALARY (RES)")</f>
        <v>25</v>
      </c>
      <c r="AC50" s="2">
        <f>SUMIFS(PERSALDATA!$H$2:$H$20871,PERSALDATA!$A$2:$A$20871,WORKING!A50,PERSALDATA!$D$2:$D$20871,WORKING!B50,PERSALDATA!$E$2:$E$20871,WORKING!C50)</f>
        <v>28403515.100000001</v>
      </c>
    </row>
    <row r="51" spans="1:29" x14ac:dyDescent="0.25">
      <c r="A51" s="2">
        <f>Results!$D$3</f>
        <v>23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0.6333224353265392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6.9733759647367957E-2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0.1013314583161956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3.0669952746393376E-5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0.19027913295604801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5.3025438011027265E-3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1.2999601290614296E-2</v>
      </c>
      <c r="AB51" s="2">
        <f>SUMIFS(PERSALDATA!$G$2:$G$20871,PERSALDATA!$A$2:$A$20871,WORKING!A51,PERSALDATA!$D$2:$D$20871,WORKING!B51,PERSALDATA!$E$2:$E$20871,WORKING!C51,PERSALDATA!$F$2:$F$20871,"S&amp;W: BASIC SALARY (RES)")</f>
        <v>3</v>
      </c>
      <c r="AC51" s="2">
        <f>SUMIFS(PERSALDATA!$H$2:$H$20871,PERSALDATA!$A$2:$A$20871,WORKING!A51,PERSALDATA!$D$2:$D$20871,WORKING!B51,PERSALDATA!$E$2:$E$20871,WORKING!C51)</f>
        <v>3350184.49</v>
      </c>
    </row>
    <row r="52" spans="1:29" x14ac:dyDescent="0.25">
      <c r="A52" s="2">
        <f>Results!$D$3</f>
        <v>23</v>
      </c>
      <c r="B52" s="2">
        <v>3</v>
      </c>
      <c r="C52" s="2">
        <v>16</v>
      </c>
      <c r="D52" s="62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>0.65672615797335976</v>
      </c>
      <c r="E52" s="62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>0.11973726328531822</v>
      </c>
      <c r="F52" s="62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>0</v>
      </c>
      <c r="G52" s="69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>0</v>
      </c>
      <c r="H52" s="62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>0</v>
      </c>
      <c r="I52" s="62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>0.10507606356128384</v>
      </c>
      <c r="J52" s="62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>0</v>
      </c>
      <c r="K52" s="62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>2.5012320241292574E-5</v>
      </c>
      <c r="L52" s="62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>0</v>
      </c>
      <c r="M52" s="62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>0.1216507118694998</v>
      </c>
      <c r="N52" s="62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>-3.2152090097030878E-3</v>
      </c>
      <c r="O52" s="62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>0</v>
      </c>
      <c r="P52" s="62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>0</v>
      </c>
      <c r="Q52" s="62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>0</v>
      </c>
      <c r="R52" s="62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>0</v>
      </c>
      <c r="S52" s="62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>0</v>
      </c>
      <c r="T52" s="62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>0</v>
      </c>
      <c r="U52" s="62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>0</v>
      </c>
      <c r="V52" s="62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>0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1.2999674839836861E-2</v>
      </c>
      <c r="AB52" s="2">
        <f>SUMIFS(PERSALDATA!$G$2:$G$20871,PERSALDATA!$A$2:$A$20871,WORKING!A52,PERSALDATA!$D$2:$D$20871,WORKING!B52,PERSALDATA!$E$2:$E$20871,WORKING!C52,PERSALDATA!$F$2:$F$20871,"S&amp;W: BASIC SALARY (RES)")</f>
        <v>1</v>
      </c>
      <c r="AC52" s="2">
        <f>SUMIFS(PERSALDATA!$H$2:$H$20871,PERSALDATA!$A$2:$A$20871,WORKING!A52,PERSALDATA!$D$2:$D$20871,WORKING!B52,PERSALDATA!$E$2:$E$20871,WORKING!C52)</f>
        <v>821595.1100000001</v>
      </c>
    </row>
    <row r="53" spans="1:29" x14ac:dyDescent="0.25">
      <c r="A53" s="2">
        <f>Results!$D$3</f>
        <v>23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23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0.8453895681706618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2.4416107314340775E-2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4.346437581291384E-2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1.4859709650240913E-3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4.6953168979418994E-2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3.8098790153277461E-2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1.9201860436319191E-4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7.3354051803930426E-2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7.0269653776562149E-2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6.9269653776562148E-2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6.7269653776562147E-2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1.1822075675842954E-2</v>
      </c>
      <c r="AB54" s="2">
        <f>SUMIFS(PERSALDATA!$G$2:$G$20871,PERSALDATA!$A$2:$A$20871,WORKING!A54,PERSALDATA!$D$2:$D$20871,WORKING!B54,PERSALDATA!$E$2:$E$20871,WORKING!C54,PERSALDATA!$F$2:$F$20871,"S&amp;W: BASIC SALARY (RES)")</f>
        <v>543</v>
      </c>
      <c r="AC54" s="2">
        <f>SUMIFS(PERSALDATA!$H$2:$H$20871,PERSALDATA!$A$2:$A$20871,WORKING!A54,PERSALDATA!$D$2:$D$20871,WORKING!B54,PERSALDATA!$E$2:$E$20871,WORKING!C54)</f>
        <v>24143910.509999994</v>
      </c>
    </row>
    <row r="55" spans="1:29" x14ac:dyDescent="0.25">
      <c r="A55" s="2">
        <f>Results!$D$3</f>
        <v>23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0.63866079173018198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5.2487735554680469E-2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0.11628254547802411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4.0853245399629793E-3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0.10477359320509598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8.3339962513255303E-2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0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3.700469787990118E-4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0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6.862935684854149E-2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7.0408778443296183E-2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6.940877844329621E-2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6.740877844329618E-2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1.0121459586395048E-2</v>
      </c>
      <c r="AB55" s="2">
        <f>SUMIFS(PERSALDATA!$G$2:$G$20871,PERSALDATA!$A$2:$A$20871,WORKING!A55,PERSALDATA!$D$2:$D$20871,WORKING!B55,PERSALDATA!$E$2:$E$20871,WORKING!C55,PERSALDATA!$F$2:$F$20871,"S&amp;W: BASIC SALARY (RES)")</f>
        <v>149</v>
      </c>
      <c r="AC55" s="2">
        <f>SUMIFS(PERSALDATA!$H$2:$H$20871,PERSALDATA!$A$2:$A$20871,WORKING!A55,PERSALDATA!$D$2:$D$20871,WORKING!B55,PERSALDATA!$E$2:$E$20871,WORKING!C55)</f>
        <v>10451267.600000001</v>
      </c>
    </row>
    <row r="56" spans="1:29" x14ac:dyDescent="0.25">
      <c r="A56" s="2">
        <f>Results!$D$3</f>
        <v>23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0.6817917859592032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5.9300301688746747E-2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8.0889151052303335E-2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1.5067320251783639E-3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7.7792206369813072E-2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8.9749551323319937E-2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0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3.2128957822322624E-4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1.8736524688347672E-3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8.6379929587171184E-4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5.91153023850565E-3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7.0941515409202321E-2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7.0357991585024177E-2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6.935799158502419E-2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6.7357991585024174E-2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1.0932965588995584E-2</v>
      </c>
      <c r="AB56" s="2">
        <f>SUMIFS(PERSALDATA!$G$2:$G$20871,PERSALDATA!$A$2:$A$20871,WORKING!A56,PERSALDATA!$D$2:$D$20871,WORKING!B56,PERSALDATA!$E$2:$E$20871,WORKING!C56,PERSALDATA!$F$2:$F$20871,"S&amp;W: BASIC SALARY (RES)")</f>
        <v>70</v>
      </c>
      <c r="AC56" s="2">
        <f>SUMIFS(PERSALDATA!$H$2:$H$20871,PERSALDATA!$A$2:$A$20871,WORKING!A56,PERSALDATA!$D$2:$D$20871,WORKING!B56,PERSALDATA!$E$2:$E$20871,WORKING!C56)</f>
        <v>12020153.350000001</v>
      </c>
    </row>
    <row r="57" spans="1:29" x14ac:dyDescent="0.25">
      <c r="A57" s="2">
        <f>Results!$D$3</f>
        <v>23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0.65548897960251651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5.3476358587222293E-2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8.1854246341193898E-2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0.12370179252753985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8.521264911158935E-2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0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2.6597382993814861E-4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7.151090237345481E-2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7.1036984424501168E-2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7.0036984424501153E-2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6.8036984424501165E-2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1.0324313834917265E-2</v>
      </c>
      <c r="AB57" s="2">
        <f>SUMIFS(PERSALDATA!$G$2:$G$20871,PERSALDATA!$A$2:$A$20871,WORKING!A57,PERSALDATA!$D$2:$D$20871,WORKING!B57,PERSALDATA!$E$2:$E$20871,WORKING!C57,PERSALDATA!$F$2:$F$20871,"S&amp;W: BASIC SALARY (RES)")</f>
        <v>4</v>
      </c>
      <c r="AC57" s="2">
        <f>SUMIFS(PERSALDATA!$H$2:$H$20871,PERSALDATA!$A$2:$A$20871,WORKING!A57,PERSALDATA!$D$2:$D$20871,WORKING!B57,PERSALDATA!$E$2:$E$20871,WORKING!C57)</f>
        <v>571747.98</v>
      </c>
    </row>
    <row r="58" spans="1:29" x14ac:dyDescent="0.25">
      <c r="A58" s="2">
        <f>Results!$D$3</f>
        <v>23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0.71787664715390564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5.9689358154433762E-2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6.0530214860859619E-2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8.4362540633602309E-3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3.2045093468247972E-2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0.10590697532290916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2.4664469134127884E-4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1.3848979120786208E-2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1.3489652817968885E-3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1.3308924900123674E-5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5.7558957459122803E-5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7.1848334979130152E-2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6.987537425341514E-2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6.8875374253415139E-2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6.6875374253415151E-2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1.1793314610734166E-2</v>
      </c>
      <c r="AB58" s="2">
        <f>SUMIFS(PERSALDATA!$G$2:$G$20871,PERSALDATA!$A$2:$A$20871,WORKING!A58,PERSALDATA!$D$2:$D$20871,WORKING!B58,PERSALDATA!$E$2:$E$20871,WORKING!C58,PERSALDATA!$F$2:$F$20871,"S&amp;W: BASIC SALARY (RES)")</f>
        <v>3233</v>
      </c>
      <c r="AC58" s="2">
        <f>SUMIFS(PERSALDATA!$H$2:$H$20871,PERSALDATA!$A$2:$A$20871,WORKING!A58,PERSALDATA!$D$2:$D$20871,WORKING!B58,PERSALDATA!$E$2:$E$20871,WORKING!C58)</f>
        <v>667371712.34000003</v>
      </c>
    </row>
    <row r="59" spans="1:29" x14ac:dyDescent="0.25">
      <c r="A59" s="2">
        <f>Results!$D$3</f>
        <v>23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0.73933094927251419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6.2773908325644376E-2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4.5940515180525769E-2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1.0809834061314668E-2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9.6552475242206153E-3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0.1143654905790438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1.9627468792941943E-4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1.5291744325892396E-2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8.850773483566614E-4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7.4016982352607277E-5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4.7971154458407279E-4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1.9723016762149628E-4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7.2643694311619142E-2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6.9685423561058071E-2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6.8685423561058057E-2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6.6685423561058069E-2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1.2274703513895214E-2</v>
      </c>
      <c r="AB59" s="2">
        <f>SUMIFS(PERSALDATA!$G$2:$G$20871,PERSALDATA!$A$2:$A$20871,WORKING!A59,PERSALDATA!$D$2:$D$20871,WORKING!B59,PERSALDATA!$E$2:$E$20871,WORKING!C59,PERSALDATA!$F$2:$F$20871,"S&amp;W: BASIC SALARY (RES)")</f>
        <v>1001</v>
      </c>
      <c r="AC59" s="2">
        <f>SUMIFS(PERSALDATA!$H$2:$H$20871,PERSALDATA!$A$2:$A$20871,WORKING!A59,PERSALDATA!$D$2:$D$20871,WORKING!B59,PERSALDATA!$E$2:$E$20871,WORKING!C59)</f>
        <v>258153053.43000007</v>
      </c>
    </row>
    <row r="60" spans="1:29" x14ac:dyDescent="0.25">
      <c r="A60" s="2">
        <f>Results!$D$3</f>
        <v>23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0.75341920517675443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6.3166849479038126E-2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3.509749389139101E-2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1.0385358486568763E-2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2.2060628090645302E-3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0.11995736061378982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1.4578777526058539E-4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1.2706682251325895E-2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6.9683910425984781E-4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1.9894357687988075E-3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2.2892464374791455E-4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7.3363475343581161E-2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6.968211600322205E-2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6.8682116003222035E-2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6.6682116003222047E-2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1.2513158521815684E-2</v>
      </c>
      <c r="AB60" s="2">
        <f>SUMIFS(PERSALDATA!$G$2:$G$20871,PERSALDATA!$A$2:$A$20871,WORKING!A60,PERSALDATA!$D$2:$D$20871,WORKING!B60,PERSALDATA!$E$2:$E$20871,WORKING!C60,PERSALDATA!$F$2:$F$20871,"S&amp;W: BASIC SALARY (RES)")</f>
        <v>1824</v>
      </c>
      <c r="AC60" s="2">
        <f>SUMIFS(PERSALDATA!$H$2:$H$20871,PERSALDATA!$A$2:$A$20871,WORKING!A60,PERSALDATA!$D$2:$D$20871,WORKING!B60,PERSALDATA!$E$2:$E$20871,WORKING!C60)</f>
        <v>582763951.5600003</v>
      </c>
    </row>
    <row r="61" spans="1:29" x14ac:dyDescent="0.25">
      <c r="A61" s="2">
        <f>Results!$D$3</f>
        <v>23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0.76369009225541862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6.4206240560374273E-2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2.7107800075624012E-2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8.1501686183756295E-3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-7.6276346516496867E-8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0.12277297736759551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0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1.208960260436381E-4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9.9207811262624606E-3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9.1178493383936034E-4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2.6359013204882577E-5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2.8693559756229276E-3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2.236203239850558E-4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7.3939806126383692E-2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6.9728920855098561E-2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6.872892085509856E-2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6.6728920855098572E-2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1.2646027942270823E-2</v>
      </c>
      <c r="AB61" s="2">
        <f>SUMIFS(PERSALDATA!$G$2:$G$20871,PERSALDATA!$A$2:$A$20871,WORKING!A61,PERSALDATA!$D$2:$D$20871,WORKING!B61,PERSALDATA!$E$2:$E$20871,WORKING!C61,PERSALDATA!$F$2:$F$20871,"S&amp;W: BASIC SALARY (RES)")</f>
        <v>1151</v>
      </c>
      <c r="AC61" s="2">
        <f>SUMIFS(PERSALDATA!$H$2:$H$20871,PERSALDATA!$A$2:$A$20871,WORKING!A61,PERSALDATA!$D$2:$D$20871,WORKING!B61,PERSALDATA!$E$2:$E$20871,WORKING!C61)</f>
        <v>458857845.17000014</v>
      </c>
    </row>
    <row r="62" spans="1:29" x14ac:dyDescent="0.25">
      <c r="A62" s="2">
        <f>Results!$D$3</f>
        <v>23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23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0.77173976787055976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6.3357042230384686E-2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2.1455962238184738E-2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5.9970918987924671E-3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0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0.12402658567782651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9.5804160498916437E-5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7.1821239396284474E-3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2.5287242025139657E-3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1.4601479494188516E-4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2.9457243366538166E-3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5.2515865001462846E-4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7.4369346869897934E-2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6.9785440377618135E-2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6.8785440377618148E-2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6.6785440377618133E-2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1.2719827036817108E-2</v>
      </c>
      <c r="AB63" s="2">
        <f>SUMIFS(PERSALDATA!$G$2:$G$20871,PERSALDATA!$A$2:$A$20871,WORKING!A63,PERSALDATA!$D$2:$D$20871,WORKING!B63,PERSALDATA!$E$2:$E$20871,WORKING!C63,PERSALDATA!$F$2:$F$20871,"S&amp;W: BASIC SALARY (RES)")</f>
        <v>537</v>
      </c>
      <c r="AC63" s="2">
        <f>SUMIFS(PERSALDATA!$H$2:$H$20871,PERSALDATA!$A$2:$A$20871,WORKING!A63,PERSALDATA!$D$2:$D$20871,WORKING!B63,PERSALDATA!$E$2:$E$20871,WORKING!C63)</f>
        <v>262363344.85999998</v>
      </c>
    </row>
    <row r="64" spans="1:29" x14ac:dyDescent="0.25">
      <c r="A64" s="2">
        <f>Results!$D$3</f>
        <v>23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23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0.740345605002666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4.5356647970572095E-2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1.8607788729947772E-3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1.9398546504924453E-3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0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0.11869649604437237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0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6.7005985639705066E-5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7.5443092640516934E-2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3.2111085654998837E-3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3.2391768624257688E-4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2.2783947100880491E-3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7.115198280464749E-4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9.765578042868716E-3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1.2974938796837749E-2</v>
      </c>
      <c r="AB65" s="2">
        <f>SUMIFS(PERSALDATA!$G$2:$G$20871,PERSALDATA!$A$2:$A$20871,WORKING!A65,PERSALDATA!$D$2:$D$20871,WORKING!B65,PERSALDATA!$E$2:$E$20871,WORKING!C65,PERSALDATA!$F$2:$F$20871,"S&amp;W: BASIC SALARY (RES)")</f>
        <v>251</v>
      </c>
      <c r="AC65" s="2">
        <f>SUMIFS(PERSALDATA!$H$2:$H$20871,PERSALDATA!$A$2:$A$20871,WORKING!A65,PERSALDATA!$D$2:$D$20871,WORKING!B65,PERSALDATA!$E$2:$E$20871,WORKING!C65)</f>
        <v>173275564.70000023</v>
      </c>
    </row>
    <row r="66" spans="1:29" x14ac:dyDescent="0.25">
      <c r="A66" s="2">
        <f>Results!$D$3</f>
        <v>23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0.66829009401283224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4.7211441739862185E-2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9.2237951080038575E-3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0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0.10692617143458051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5.2761792287291992E-5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0.15637277625748752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8.4057116006687714E-3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9.2119561585157371E-4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2.5960524384259841E-3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1.2879404760296212E-2</v>
      </c>
      <c r="AB66" s="2">
        <f>SUMIFS(PERSALDATA!$G$2:$G$20871,PERSALDATA!$A$2:$A$20871,WORKING!A66,PERSALDATA!$D$2:$D$20871,WORKING!B66,PERSALDATA!$E$2:$E$20871,WORKING!C66,PERSALDATA!$F$2:$F$20871,"S&amp;W: BASIC SALARY (RES)")</f>
        <v>31</v>
      </c>
      <c r="AC66" s="2">
        <f>SUMIFS(PERSALDATA!$H$2:$H$20871,PERSALDATA!$A$2:$A$20871,WORKING!A66,PERSALDATA!$D$2:$D$20871,WORKING!B66,PERSALDATA!$E$2:$E$20871,WORKING!C66)</f>
        <v>29757707.839999996</v>
      </c>
    </row>
    <row r="67" spans="1:29" x14ac:dyDescent="0.25">
      <c r="A67" s="2">
        <f>Results!$D$3</f>
        <v>23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0.65268437277584646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5.0375716895637183E-2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6.9368249156668959E-3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0.10458310098872488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4.4921630554705312E-5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0.17831993531130177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5.6782030810169516E-3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1.3769244012510568E-3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1.2909237294899118E-2</v>
      </c>
      <c r="AB67" s="2">
        <f>SUMIFS(PERSALDATA!$G$2:$G$20871,PERSALDATA!$A$2:$A$20871,WORKING!A67,PERSALDATA!$D$2:$D$20871,WORKING!B67,PERSALDATA!$E$2:$E$20871,WORKING!C67,PERSALDATA!$F$2:$F$20871,"S&amp;W: BASIC SALARY (RES)")</f>
        <v>13</v>
      </c>
      <c r="AC67" s="2">
        <f>SUMIFS(PERSALDATA!$H$2:$H$20871,PERSALDATA!$A$2:$A$20871,WORKING!A67,PERSALDATA!$D$2:$D$20871,WORKING!B67,PERSALDATA!$E$2:$E$20871,WORKING!C67)</f>
        <v>12901579.770000003</v>
      </c>
    </row>
    <row r="68" spans="1:29" x14ac:dyDescent="0.25">
      <c r="A68" s="2">
        <f>Results!$D$3</f>
        <v>23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0.59998037233808177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4.9998364361506821E-2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9.5996698013066428E-2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3.2926404279097337E-5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0.25399163888306586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1.2999571956744371E-2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1497886</v>
      </c>
    </row>
    <row r="69" spans="1:29" x14ac:dyDescent="0.25">
      <c r="A69" s="2">
        <f>Results!$D$3</f>
        <v>23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23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23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0.78635745961356085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3.2561473542207647E-2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5.2317924943544494E-2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5.8958078791442351E-4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7.6218009763210262E-2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5.169131390693478E-2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2.6423744262751782E-4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7.3090889840975545E-2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7.0620090897012711E-2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6.962009089701271E-2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6.7620090897012708E-2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1.1325597762058028E-2</v>
      </c>
      <c r="AB71" s="2">
        <f>SUMIFS(PERSALDATA!$G$2:$G$20871,PERSALDATA!$A$2:$A$20871,WORKING!A71,PERSALDATA!$D$2:$D$20871,WORKING!B71,PERSALDATA!$E$2:$E$20871,WORKING!C71,PERSALDATA!$F$2:$F$20871,"S&amp;W: BASIC SALARY (RES)")</f>
        <v>211</v>
      </c>
      <c r="AC71" s="2">
        <f>SUMIFS(PERSALDATA!$H$2:$H$20871,PERSALDATA!$A$2:$A$20871,WORKING!A71,PERSALDATA!$D$2:$D$20871,WORKING!B71,PERSALDATA!$E$2:$E$20871,WORKING!C71)</f>
        <v>8928106.3900000006</v>
      </c>
    </row>
    <row r="72" spans="1:29" x14ac:dyDescent="0.25">
      <c r="A72" s="2">
        <f>Results!$D$3</f>
        <v>23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0.64827132225638517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4.1033028997064964E-2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0.13102859824998489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1.1278261543915695E-2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8.3395606300475086E-2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8.4629803746096438E-2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0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3.6337890607789335E-4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0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0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0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6.7209365021207806E-2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6.99406481120073E-2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6.8940648112007272E-2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6.6940648112007284E-2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1.0207761415065008E-2</v>
      </c>
      <c r="AB72" s="2">
        <f>SUMIFS(PERSALDATA!$G$2:$G$20871,PERSALDATA!$A$2:$A$20871,WORKING!A72,PERSALDATA!$D$2:$D$20871,WORKING!B72,PERSALDATA!$E$2:$E$20871,WORKING!C72,PERSALDATA!$F$2:$F$20871,"S&amp;W: BASIC SALARY (RES)")</f>
        <v>82</v>
      </c>
      <c r="AC72" s="2">
        <f>SUMIFS(PERSALDATA!$H$2:$H$20871,PERSALDATA!$A$2:$A$20871,WORKING!A72,PERSALDATA!$D$2:$D$20871,WORKING!B72,PERSALDATA!$E$2:$E$20871,WORKING!C72)</f>
        <v>1696576.1899999997</v>
      </c>
    </row>
    <row r="73" spans="1:29" x14ac:dyDescent="0.25">
      <c r="A73" s="2">
        <f>Results!$D$3</f>
        <v>23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0.665290316315163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5.3487044104698359E-2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8.5983435161278265E-2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7.1869713558391441E-3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6.7137268281920459E-2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8.9521625605406677E-2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0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3.180724316971165E-4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1.6584598067057001E-2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1.449066867693995E-2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7.0405180683689714E-2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7.0147224672616026E-2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6.9147224672616026E-2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6.7147224672616024E-2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1.1005295913626352E-2</v>
      </c>
      <c r="AB73" s="2">
        <f>SUMIFS(PERSALDATA!$G$2:$G$20871,PERSALDATA!$A$2:$A$20871,WORKING!A73,PERSALDATA!$D$2:$D$20871,WORKING!B73,PERSALDATA!$E$2:$E$20871,WORKING!C73,PERSALDATA!$F$2:$F$20871,"S&amp;W: BASIC SALARY (RES)")</f>
        <v>83</v>
      </c>
      <c r="AC73" s="2">
        <f>SUMIFS(PERSALDATA!$H$2:$H$20871,PERSALDATA!$A$2:$A$20871,WORKING!A73,PERSALDATA!$D$2:$D$20871,WORKING!B73,PERSALDATA!$E$2:$E$20871,WORKING!C73)</f>
        <v>15840605.780000003</v>
      </c>
    </row>
    <row r="74" spans="1:29" x14ac:dyDescent="0.25">
      <c r="A74" s="2">
        <f>Results!$D$3</f>
        <v>23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0.67386086069441042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4.8676742988620555E-2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6.9194077970259976E-2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5.7154877902018857E-3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0.1039410849158742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8.7600974590520325E-2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2.6917350578307308E-4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1.07415975443297E-2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7.2196425263082495E-2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7.0867175494035539E-2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6.9867175494035524E-2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6.7867175494035537E-2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1.074574362690508E-2</v>
      </c>
      <c r="AB74" s="2">
        <f>SUMIFS(PERSALDATA!$G$2:$G$20871,PERSALDATA!$A$2:$A$20871,WORKING!A74,PERSALDATA!$D$2:$D$20871,WORKING!B74,PERSALDATA!$E$2:$E$20871,WORKING!C74,PERSALDATA!$F$2:$F$20871,"S&amp;W: BASIC SALARY (RES)")</f>
        <v>7</v>
      </c>
      <c r="AC74" s="2">
        <f>SUMIFS(PERSALDATA!$H$2:$H$20871,PERSALDATA!$A$2:$A$20871,WORKING!A74,PERSALDATA!$D$2:$D$20871,WORKING!B74,PERSALDATA!$E$2:$E$20871,WORKING!C74)</f>
        <v>1053558.3699999999</v>
      </c>
    </row>
    <row r="75" spans="1:29" x14ac:dyDescent="0.25">
      <c r="A75" s="2">
        <f>Results!$D$3</f>
        <v>23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0.66322298507274191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5.5245691471656103E-2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5.5437975920886493E-2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6.2851996466480375E-2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1.1636694159176087E-2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0.10314181209630478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2.2350596299761149E-4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2.7692076314975538E-2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2.0288534311836231E-2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2.2601212405272989E-5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2.3612701053956462E-4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7.1949627548241094E-2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6.962017065317877E-2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6.8620170653178783E-2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6.6620170653178781E-2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1.2125123711440216E-2</v>
      </c>
      <c r="AB75" s="2">
        <f>SUMIFS(PERSALDATA!$G$2:$G$20871,PERSALDATA!$A$2:$A$20871,WORKING!A75,PERSALDATA!$D$2:$D$20871,WORKING!B75,PERSALDATA!$E$2:$E$20871,WORKING!C75,PERSALDATA!$F$2:$F$20871,"S&amp;W: BASIC SALARY (RES)")</f>
        <v>2545</v>
      </c>
      <c r="AC75" s="2">
        <f>SUMIFS(PERSALDATA!$H$2:$H$20871,PERSALDATA!$A$2:$A$20871,WORKING!A75,PERSALDATA!$D$2:$D$20871,WORKING!B75,PERSALDATA!$E$2:$E$20871,WORKING!C75)</f>
        <v>584315998.76999998</v>
      </c>
    </row>
    <row r="76" spans="1:29" x14ac:dyDescent="0.25">
      <c r="A76" s="2">
        <f>Results!$D$3</f>
        <v>23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0.6196690306203344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5.165160600674671E-2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3.9354819777653205E-2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0.14920548684413062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1.8203171250144132E-3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9.876548797973439E-2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0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1.6305502776389232E-4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2.2640557467844442E-2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1.4447385565863903E-2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1.9078307904043064E-3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3.7442279450965291E-4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7.3034518136648546E-2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6.9633756559098703E-2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6.8633756559098674E-2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6.66337565590987E-2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1.246260350490439E-2</v>
      </c>
      <c r="AB76" s="2">
        <f>SUMIFS(PERSALDATA!$G$2:$G$20871,PERSALDATA!$A$2:$A$20871,WORKING!A76,PERSALDATA!$D$2:$D$20871,WORKING!B76,PERSALDATA!$E$2:$E$20871,WORKING!C76,PERSALDATA!$F$2:$F$20871,"S&amp;W: BASIC SALARY (RES)")</f>
        <v>1941</v>
      </c>
      <c r="AC76" s="2">
        <f>SUMIFS(PERSALDATA!$H$2:$H$20871,PERSALDATA!$A$2:$A$20871,WORKING!A76,PERSALDATA!$D$2:$D$20871,WORKING!B76,PERSALDATA!$E$2:$E$20871,WORKING!C76)</f>
        <v>592429876.74000001</v>
      </c>
    </row>
    <row r="77" spans="1:29" x14ac:dyDescent="0.25">
      <c r="A77" s="2">
        <f>Results!$D$3</f>
        <v>23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0.6739248444248942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5.6366260873771779E-2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2.9619192299564428E-2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0.10235567752941369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3.0847124446239855E-3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0.1068316141206733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0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1.3010013154582392E-4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1.7538523324187056E-2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8.237089992483437E-3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-9.6229637248716377E-6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1.6922160571156693E-3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2.2939176545187627E-4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7.3792127359457879E-2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6.9750078763673742E-2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6.8750078763673741E-2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6.6750078763673754E-2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1.2573157936615462E-2</v>
      </c>
      <c r="AB77" s="2">
        <f>SUMIFS(PERSALDATA!$G$2:$G$20871,PERSALDATA!$A$2:$A$20871,WORKING!A77,PERSALDATA!$D$2:$D$20871,WORKING!B77,PERSALDATA!$E$2:$E$20871,WORKING!C77,PERSALDATA!$F$2:$F$20871,"S&amp;W: BASIC SALARY (RES)")</f>
        <v>966</v>
      </c>
      <c r="AC77" s="2">
        <f>SUMIFS(PERSALDATA!$H$2:$H$20871,PERSALDATA!$A$2:$A$20871,WORKING!A77,PERSALDATA!$D$2:$D$20871,WORKING!B77,PERSALDATA!$E$2:$E$20871,WORKING!C77)</f>
        <v>349014097.52999985</v>
      </c>
    </row>
    <row r="78" spans="1:29" x14ac:dyDescent="0.25">
      <c r="A78" s="2">
        <f>Results!$D$3</f>
        <v>23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0.72108739708394065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6.0349945133728974E-2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2.6793227975354009E-2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5.5344283081248807E-2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-3.1982327070497272E-5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0.11565627528859203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0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1.1599007560396508E-4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1.0858112811566421E-2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5.4782908518755235E-3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4.1252556848500443E-3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2.2320434031024153E-4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7.3963266921294138E-2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6.9731587985340446E-2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6.8731587985340431E-2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6.6731587985340415E-2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1.2650595935589464E-2</v>
      </c>
      <c r="AB78" s="2">
        <f>SUMIFS(PERSALDATA!$G$2:$G$20871,PERSALDATA!$A$2:$A$20871,WORKING!A78,PERSALDATA!$D$2:$D$20871,WORKING!B78,PERSALDATA!$E$2:$E$20871,WORKING!C78,PERSALDATA!$F$2:$F$20871,"S&amp;W: BASIC SALARY (RES)")</f>
        <v>355</v>
      </c>
      <c r="AC78" s="2">
        <f>SUMIFS(PERSALDATA!$H$2:$H$20871,PERSALDATA!$A$2:$A$20871,WORKING!A78,PERSALDATA!$D$2:$D$20871,WORKING!B78,PERSALDATA!$E$2:$E$20871,WORKING!C78)</f>
        <v>147511154.81999999</v>
      </c>
    </row>
    <row r="79" spans="1:29" x14ac:dyDescent="0.25">
      <c r="A79" s="2">
        <f>Results!$D$3</f>
        <v>23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23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0.71508787956907094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6.0602101403915684E-2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2.0714861509586867E-2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7.350692782018374E-2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0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0.11490443136168639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0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9.3451776958815424E-5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8.8766168138565364E-3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3.1558855684981663E-3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2.8298675634836931E-3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2.2797661275915092E-4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7.4425670525271395E-2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6.9792851384904139E-2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6.8792851384904138E-2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6.6792851384904151E-2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1.2729491927274905E-2</v>
      </c>
      <c r="AB80" s="2">
        <f>SUMIFS(PERSALDATA!$G$2:$G$20871,PERSALDATA!$A$2:$A$20871,WORKING!A80,PERSALDATA!$D$2:$D$20871,WORKING!B80,PERSALDATA!$E$2:$E$20871,WORKING!C80,PERSALDATA!$F$2:$F$20871,"S&amp;W: BASIC SALARY (RES)")</f>
        <v>205</v>
      </c>
      <c r="AC80" s="2">
        <f>SUMIFS(PERSALDATA!$H$2:$H$20871,PERSALDATA!$A$2:$A$20871,WORKING!A80,PERSALDATA!$D$2:$D$20871,WORKING!B80,PERSALDATA!$E$2:$E$20871,WORKING!C80)</f>
        <v>99923407.600000009</v>
      </c>
    </row>
    <row r="81" spans="1:29" x14ac:dyDescent="0.25">
      <c r="A81" s="2">
        <f>Results!$D$3</f>
        <v>23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23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0.71420974674765292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5.5644498043624618E-2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8.0470666109319037E-4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4.4319226816145675E-2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0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0.11427327870155655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0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6.8550176067521605E-5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6.0099089023435769E-2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7.5394862582904192E-3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2.3798019226150425E-3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6.6161564951821173E-4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1.2988647661116908E-2</v>
      </c>
      <c r="AB82" s="2">
        <f>SUMIFS(PERSALDATA!$G$2:$G$20871,PERSALDATA!$A$2:$A$20871,WORKING!A82,PERSALDATA!$D$2:$D$20871,WORKING!B82,PERSALDATA!$E$2:$E$20871,WORKING!C82,PERSALDATA!$F$2:$F$20871,"S&amp;W: BASIC SALARY (RES)")</f>
        <v>70</v>
      </c>
      <c r="AC82" s="2">
        <f>SUMIFS(PERSALDATA!$H$2:$H$20871,PERSALDATA!$A$2:$A$20871,WORKING!A82,PERSALDATA!$D$2:$D$20871,WORKING!B82,PERSALDATA!$E$2:$E$20871,WORKING!C82)</f>
        <v>50962669.980000041</v>
      </c>
    </row>
    <row r="83" spans="1:29" x14ac:dyDescent="0.25">
      <c r="A83" s="2">
        <f>Results!$D$3</f>
        <v>23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0.68111630236756437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4.0965712056682653E-2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0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0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0.10897837346975639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5.1375082692770107E-5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0.15891682485470668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8.9574550570909028E-3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1.0139571115063098E-3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1.2999332123924994E-2</v>
      </c>
      <c r="AB83" s="2">
        <f>SUMIFS(PERSALDATA!$G$2:$G$20871,PERSALDATA!$A$2:$A$20871,WORKING!A83,PERSALDATA!$D$2:$D$20871,WORKING!B83,PERSALDATA!$E$2:$E$20871,WORKING!C83,PERSALDATA!$F$2:$F$20871,"S&amp;W: BASIC SALARY (RES)")</f>
        <v>18</v>
      </c>
      <c r="AC83" s="2">
        <f>SUMIFS(PERSALDATA!$H$2:$H$20871,PERSALDATA!$A$2:$A$20871,WORKING!A83,PERSALDATA!$D$2:$D$20871,WORKING!B83,PERSALDATA!$E$2:$E$20871,WORKING!C83)</f>
        <v>17519971.799999997</v>
      </c>
    </row>
    <row r="84" spans="1:29" x14ac:dyDescent="0.25">
      <c r="A84" s="2">
        <f>Results!$D$3</f>
        <v>23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0.66696924319606421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5.5580770266338682E-2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0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0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0.10671483334390738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4.5327048162378194E-5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0.17068982614552736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1.2999410748373888E-2</v>
      </c>
      <c r="AB84" s="2">
        <f>SUMIFS(PERSALDATA!$G$2:$G$20871,PERSALDATA!$A$2:$A$20871,WORKING!A84,PERSALDATA!$D$2:$D$20871,WORKING!B84,PERSALDATA!$E$2:$E$20871,WORKING!C84,PERSALDATA!$F$2:$F$20871,"S&amp;W: BASIC SALARY (RES)")</f>
        <v>3</v>
      </c>
      <c r="AC84" s="2">
        <f>SUMIFS(PERSALDATA!$H$2:$H$20871,PERSALDATA!$A$2:$A$20871,WORKING!A84,PERSALDATA!$D$2:$D$20871,WORKING!B84,PERSALDATA!$E$2:$E$20871,WORKING!C84)</f>
        <v>3264276.0999999996</v>
      </c>
    </row>
    <row r="85" spans="1:29" x14ac:dyDescent="0.25">
      <c r="A85" s="2">
        <f>Results!$D$3</f>
        <v>23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0.63155742015693694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0.10104913737538192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3.4147063676547051E-5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0.2673592954040046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1.2999556088172203E-2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120361.74</v>
      </c>
    </row>
    <row r="86" spans="1:29" x14ac:dyDescent="0.25">
      <c r="A86" s="2">
        <f>Results!$D$3</f>
        <v>23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23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23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23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23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23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23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23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23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23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23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23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23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23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23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23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23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23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23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23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23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23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23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23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23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23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23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23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23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23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23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23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23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23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23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23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23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23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23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23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23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23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23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23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23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23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23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23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23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23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23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23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23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23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23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23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23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23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23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23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23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23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23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23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23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23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23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23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23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23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23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23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23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23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23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23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23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23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23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23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23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23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23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23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23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23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23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23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1.225276197389868E-2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23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1.225276197389868E-2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23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1.225276197389868E-2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23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1.225276197389868E-2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23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1.225276197389868E-2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23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1.225276197389868E-2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23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1.225276197389868E-2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23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1.225276197389868E-2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23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1.225276197389868E-2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23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1.225276197389868E-2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23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1.225276197389868E-2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23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1.225276197389868E-2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23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1.225276197389868E-2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23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1.225276197389868E-2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23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1.225276197389868E-2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23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1.225276197389868E-2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23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1.225276197389868E-2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23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1.225276197389868E-2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23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1.225276197389868E-2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23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1.225276197389868E-2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23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1.225276197389868E-2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23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1.225276197389868E-2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23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1.225276197389868E-2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23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1.225276197389868E-2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23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1.225276197389868E-2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23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1.225276197389868E-2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23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1.225276197389868E-2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23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1.225276197389868E-2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23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1.225276197389868E-2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23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1.225276197389868E-2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23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1.225276197389868E-2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23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1.225276197389868E-2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23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1.225276197389868E-2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23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1.225276197389868E-2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23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1.225276197389868E-2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23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1.225276197389868E-2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23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1.225276197389868E-2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23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1.225276197389868E-2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23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1.225276197389868E-2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23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1.225276197389868E-2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23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1.225276197389868E-2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23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1.225276197389868E-2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23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1.225276197389868E-2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23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1.225276197389868E-2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23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1.225276197389868E-2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23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1.225276197389868E-2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23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1.225276197389868E-2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23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1.225276197389868E-2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23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1.225276197389868E-2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23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1.225276197389868E-2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23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1.225276197389868E-2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23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1.225276197389868E-2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23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1.225276197389868E-2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23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1.225276197389868E-2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23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1.225276197389868E-2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23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1.225276197389868E-2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23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1.225276197389868E-2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23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1.225276197389868E-2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23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1.225276197389868E-2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23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1.225276197389868E-2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23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1.225276197389868E-2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23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1.225276197389868E-2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23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1.225276197389868E-2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23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1.225276197389868E-2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23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1.225276197389868E-2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23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1.225276197389868E-2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23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1.225276197389868E-2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23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1.225276197389868E-2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23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1.225276197389868E-2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23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1.225276197389868E-2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23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1.225276197389868E-2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23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1.225276197389868E-2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23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1.225276197389868E-2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23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1.225276197389868E-2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23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1.225276197389868E-2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23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1.225276197389868E-2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23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1.225276197389868E-2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23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1.225276197389868E-2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23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1.225276197389868E-2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23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1.225276197389868E-2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23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1.225276197389868E-2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23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1.225276197389868E-2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23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1.225276197389868E-2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23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1.225276197389868E-2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23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1.225276197389868E-2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23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1.225276197389868E-2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23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1.225276197389868E-2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23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1.225276197389868E-2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23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1.225276197389868E-2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23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1.225276197389868E-2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23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1.225276197389868E-2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23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1.225276197389868E-2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23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1.225276197389868E-2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23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1.225276197389868E-2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23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1.225276197389868E-2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23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1.225276197389868E-2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23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1.225276197389868E-2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23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1.225276197389868E-2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23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1.225276197389868E-2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23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1.225276197389868E-2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23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1.225276197389868E-2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23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1.225276197389868E-2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1.2999999999999999E-2</v>
      </c>
      <c r="K6" s="121">
        <f>INDEX(MAPs!$AA$7:$AA$52,MATCH(Results!$D$3,MAPs!$Y$7:$Y$52,0))</f>
        <v>1.2999999999999999E-2</v>
      </c>
      <c r="L6" s="121">
        <f>INDEX(MAPs!$AA$7:$AA$52,MATCH(Results!$D$3,MAPs!$Y$7:$Y$52,0))</f>
        <v>1.2999999999999999E-2</v>
      </c>
      <c r="M6" s="121">
        <f>INDEX(MAPs!$AA$7:$AA$52,MATCH(Results!$D$3,MAPs!$Y$7:$Y$52,0))</f>
        <v>1.2999999999999999E-2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1.2999999999999999E-2</v>
      </c>
      <c r="K7" s="121">
        <f>INDEX(MAPs!$AA$7:$AA$52,MATCH(Results!$D$3,MAPs!$Y$7:$Y$52,0))</f>
        <v>1.2999999999999999E-2</v>
      </c>
      <c r="L7" s="121">
        <f>INDEX(MAPs!$AA$7:$AA$52,MATCH(Results!$D$3,MAPs!$Y$7:$Y$52,0))</f>
        <v>1.2999999999999999E-2</v>
      </c>
      <c r="M7" s="121">
        <f>INDEX(MAPs!$AA$7:$AA$52,MATCH(Results!$D$3,MAPs!$Y$7:$Y$52,0))</f>
        <v>1.2999999999999999E-2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1.2999999999999999E-2</v>
      </c>
      <c r="K9" s="121">
        <f>INDEX(MAPs!$AA$7:$AA$52,MATCH(Results!$D$3,MAPs!$Y$7:$Y$52,0))</f>
        <v>1.2999999999999999E-2</v>
      </c>
      <c r="L9" s="121">
        <f>INDEX(MAPs!$AA$7:$AA$52,MATCH(Results!$D$3,MAPs!$Y$7:$Y$52,0))</f>
        <v>1.2999999999999999E-2</v>
      </c>
      <c r="M9" s="121">
        <f>INDEX(MAPs!$AA$7:$AA$52,MATCH(Results!$D$3,MAPs!$Y$7:$Y$52,0))</f>
        <v>1.2999999999999999E-2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1.2999999999999999E-2</v>
      </c>
      <c r="K11" s="121">
        <f>INDEX(MAPs!$AA$7:$AA$52,MATCH(Results!$D$3,MAPs!$Y$7:$Y$52,0))</f>
        <v>1.2999999999999999E-2</v>
      </c>
      <c r="L11" s="121">
        <f>INDEX(MAPs!$AA$7:$AA$52,MATCH(Results!$D$3,MAPs!$Y$7:$Y$52,0))</f>
        <v>1.2999999999999999E-2</v>
      </c>
      <c r="M11" s="121">
        <f>INDEX(MAPs!$AA$7:$AA$52,MATCH(Results!$D$3,MAPs!$Y$7:$Y$52,0))</f>
        <v>1.2999999999999999E-2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1.2999999999999999E-2</v>
      </c>
      <c r="K12" s="121">
        <f>INDEX(MAPs!$AA$7:$AA$52,MATCH(Results!$D$3,MAPs!$Y$7:$Y$52,0))</f>
        <v>1.2999999999999999E-2</v>
      </c>
      <c r="L12" s="121">
        <f>INDEX(MAPs!$AA$7:$AA$52,MATCH(Results!$D$3,MAPs!$Y$7:$Y$52,0))</f>
        <v>1.2999999999999999E-2</v>
      </c>
      <c r="M12" s="121">
        <f>INDEX(MAPs!$AA$7:$AA$52,MATCH(Results!$D$3,MAPs!$Y$7:$Y$52,0))</f>
        <v>1.2999999999999999E-2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1.2999999999999999E-2</v>
      </c>
      <c r="K14" s="121">
        <f>INDEX(MAPs!$AA$7:$AA$52,MATCH(Results!$D$3,MAPs!$Y$7:$Y$52,0))</f>
        <v>1.2999999999999999E-2</v>
      </c>
      <c r="L14" s="121">
        <f>INDEX(MAPs!$AA$7:$AA$52,MATCH(Results!$D$3,MAPs!$Y$7:$Y$52,0))</f>
        <v>1.2999999999999999E-2</v>
      </c>
      <c r="M14" s="121">
        <f>INDEX(MAPs!$AA$7:$AA$52,MATCH(Results!$D$3,MAPs!$Y$7:$Y$52,0))</f>
        <v>1.2999999999999999E-2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1.2999999999999999E-2</v>
      </c>
      <c r="K15" s="121">
        <f>INDEX(MAPs!$AA$7:$AA$52,MATCH(Results!$D$3,MAPs!$Y$7:$Y$52,0))</f>
        <v>1.2999999999999999E-2</v>
      </c>
      <c r="L15" s="121">
        <f>INDEX(MAPs!$AA$7:$AA$52,MATCH(Results!$D$3,MAPs!$Y$7:$Y$52,0))</f>
        <v>1.2999999999999999E-2</v>
      </c>
      <c r="M15" s="121">
        <f>INDEX(MAPs!$AA$7:$AA$52,MATCH(Results!$D$3,MAPs!$Y$7:$Y$52,0))</f>
        <v>1.2999999999999999E-2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1.2999999999999999E-2</v>
      </c>
      <c r="K16" s="121">
        <f>INDEX(MAPs!$AA$7:$AA$52,MATCH(Results!$D$3,MAPs!$Y$7:$Y$52,0))</f>
        <v>1.2999999999999999E-2</v>
      </c>
      <c r="L16" s="121">
        <f>INDEX(MAPs!$AA$7:$AA$52,MATCH(Results!$D$3,MAPs!$Y$7:$Y$52,0))</f>
        <v>1.2999999999999999E-2</v>
      </c>
      <c r="M16" s="121">
        <f>INDEX(MAPs!$AA$7:$AA$52,MATCH(Results!$D$3,MAPs!$Y$7:$Y$52,0))</f>
        <v>1.2999999999999999E-2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1.2999999999999999E-2</v>
      </c>
      <c r="K17" s="121">
        <f>INDEX(MAPs!$AA$7:$AA$52,MATCH(Results!$D$3,MAPs!$Y$7:$Y$52,0))</f>
        <v>1.2999999999999999E-2</v>
      </c>
      <c r="L17" s="121">
        <f>INDEX(MAPs!$AA$7:$AA$52,MATCH(Results!$D$3,MAPs!$Y$7:$Y$52,0))</f>
        <v>1.2999999999999999E-2</v>
      </c>
      <c r="M17" s="121">
        <f>INDEX(MAPs!$AA$7:$AA$52,MATCH(Results!$D$3,MAPs!$Y$7:$Y$52,0))</f>
        <v>1.2999999999999999E-2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1.2999999999999999E-2</v>
      </c>
      <c r="K18" s="121">
        <f>INDEX(MAPs!$AA$7:$AA$52,MATCH(Results!$D$3,MAPs!$Y$7:$Y$52,0))</f>
        <v>1.2999999999999999E-2</v>
      </c>
      <c r="L18" s="121">
        <f>INDEX(MAPs!$AA$7:$AA$52,MATCH(Results!$D$3,MAPs!$Y$7:$Y$52,0))</f>
        <v>1.2999999999999999E-2</v>
      </c>
      <c r="M18" s="121">
        <f>INDEX(MAPs!$AA$7:$AA$52,MATCH(Results!$D$3,MAPs!$Y$7:$Y$52,0))</f>
        <v>1.2999999999999999E-2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1.2999999999999999E-2</v>
      </c>
      <c r="K19" s="121">
        <f>INDEX(MAPs!$AA$7:$AA$52,MATCH(Results!$D$3,MAPs!$Y$7:$Y$52,0))</f>
        <v>1.2999999999999999E-2</v>
      </c>
      <c r="L19" s="121">
        <f>INDEX(MAPs!$AA$7:$AA$52,MATCH(Results!$D$3,MAPs!$Y$7:$Y$52,0))</f>
        <v>1.2999999999999999E-2</v>
      </c>
      <c r="M19" s="121">
        <f>INDEX(MAPs!$AA$7:$AA$52,MATCH(Results!$D$3,MAPs!$Y$7:$Y$52,0))</f>
        <v>1.2999999999999999E-2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1.2999999999999999E-2</v>
      </c>
      <c r="K20" s="121">
        <f>INDEX(MAPs!$AA$7:$AA$52,MATCH(Results!$D$3,MAPs!$Y$7:$Y$52,0))</f>
        <v>1.2999999999999999E-2</v>
      </c>
      <c r="L20" s="121">
        <f>INDEX(MAPs!$AA$7:$AA$52,MATCH(Results!$D$3,MAPs!$Y$7:$Y$52,0))</f>
        <v>1.2999999999999999E-2</v>
      </c>
      <c r="M20" s="121">
        <f>INDEX(MAPs!$AA$7:$AA$52,MATCH(Results!$D$3,MAPs!$Y$7:$Y$52,0))</f>
        <v>1.2999999999999999E-2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1.2999999999999999E-2</v>
      </c>
      <c r="K22" s="121">
        <f>INDEX(MAPs!$AA$7:$AA$52,MATCH(Results!$D$3,MAPs!$Y$7:$Y$52,0))</f>
        <v>1.2999999999999999E-2</v>
      </c>
      <c r="L22" s="121">
        <f>INDEX(MAPs!$AA$7:$AA$52,MATCH(Results!$D$3,MAPs!$Y$7:$Y$52,0))</f>
        <v>1.2999999999999999E-2</v>
      </c>
      <c r="M22" s="121">
        <f>INDEX(MAPs!$AA$7:$AA$52,MATCH(Results!$D$3,MAPs!$Y$7:$Y$52,0))</f>
        <v>1.2999999999999999E-2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1.2999999999999999E-2</v>
      </c>
      <c r="K24" s="121">
        <f>INDEX(MAPs!$AA$7:$AA$52,MATCH(Results!$D$3,MAPs!$Y$7:$Y$52,0))</f>
        <v>1.2999999999999999E-2</v>
      </c>
      <c r="L24" s="121">
        <f>INDEX(MAPs!$AA$7:$AA$52,MATCH(Results!$D$3,MAPs!$Y$7:$Y$52,0))</f>
        <v>1.2999999999999999E-2</v>
      </c>
      <c r="M24" s="121">
        <f>INDEX(MAPs!$AA$7:$AA$52,MATCH(Results!$D$3,MAPs!$Y$7:$Y$52,0))</f>
        <v>1.2999999999999999E-2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23</v>
      </c>
      <c r="E3" s="74" t="str">
        <f>INDEX(MAPs!$I$7:$J$54,MATCH(Results!$D$3,MAPs!$I$7:$I$54,0),2)</f>
        <v>South African Police Service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64508.008525996447</v>
      </c>
      <c r="N9" s="148">
        <f>IFERROR(SUMIFS('Employee Profile (2)'!C$4:C$50,'Employee Profile (2)'!$B$4:$B$50,Results!$D$3),"")</f>
        <v>0.3406687290461744</v>
      </c>
      <c r="O9" s="150" t="s">
        <v>620</v>
      </c>
      <c r="P9" s="143">
        <f>IFERROR(INDEX('Employee Profile (2)'!$AC$4:$AC$50,MATCH(Results!$D$3,'Employee Profile (2)'!$B$4:$B$50,0))*$Q9,"")</f>
        <v>88423.952610105654</v>
      </c>
      <c r="Q9" s="148">
        <f>IFERROR(SUMIFS('Employee Profile (2)'!J$4:J$50,'Employee Profile (2)'!$B$4:$B$50,Results!$D$3),"")</f>
        <v>0.46696954752190656</v>
      </c>
      <c r="R9" s="150" t="s">
        <v>627</v>
      </c>
      <c r="S9" s="144">
        <f>IFERROR(INDEX('Employee Profile (2)'!$AC$4:$AC$50,MATCH(Results!$D$3,'Employee Profile (2)'!$B$4:$B$50,0))*$T9,"")</f>
        <v>7509.1357359556441</v>
      </c>
      <c r="T9" s="147">
        <f>IFERROR(SUMIFS('Employee Profile (2)'!N$4:N$50,'Employee Profile (2)'!$B$4:$B$50,Results!$D$3),"")</f>
        <v>3.9655971186466007E-2</v>
      </c>
      <c r="U9" s="150" t="s">
        <v>632</v>
      </c>
      <c r="V9" s="144">
        <f>IFERROR(INDEX('Employee Profile (2)'!$AC$4:$AC$50,MATCH(Results!$D$3,'Employee Profile (2)'!$B$4:$B$50,0))*$W9,"")</f>
        <v>63486.415158489377</v>
      </c>
      <c r="W9" s="147">
        <f>IFERROR(SUMIFS('Employee Profile (2)'!S$4:S$50,'Employee Profile (2)'!$B$4:$B$50,Results!$D$3),"")</f>
        <v>0.33527366381221385</v>
      </c>
      <c r="X9" s="150" t="s">
        <v>635</v>
      </c>
      <c r="Y9" s="144">
        <f>IFERROR(INDEX('Employee Profile (2)'!$AC$4:$AC$50,MATCH(Results!$D$3,'Employee Profile (2)'!$B$4:$B$50,0))*$Z9,"")</f>
        <v>136606.27654566377</v>
      </c>
      <c r="Z9" s="147">
        <f>IFERROR(SUMIFS('Employee Profile (2)'!V$4:V$50,'Employee Profile (2)'!$B$4:$B$50,Results!$D$3),"")</f>
        <v>0.72142184627800277</v>
      </c>
      <c r="AA9" s="150" t="s">
        <v>675</v>
      </c>
      <c r="AB9" s="144">
        <f>IFERROR(SUMIFS('Employee Profile (2)'!$AD$4:$AD$50,'Employee Profile (2)'!$B$4:$B$50,Results!$D$3),"")</f>
        <v>36926</v>
      </c>
      <c r="AC9" s="147">
        <f>IFERROR(SUMIFS('Employee Profile (2)'!$AE$4:$AE$50,'Employee Profile (2)'!$B$4:$B$50,Results!$D$3),"")</f>
        <v>0.19500731422656675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350</v>
      </c>
      <c r="H10" s="158">
        <v>350</v>
      </c>
      <c r="I10" s="158">
        <v>350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85865.252693796414</v>
      </c>
      <c r="N10" s="148">
        <f>IFERROR(SUMIFS('Employee Profile (2)'!D$4:D$50,'Employee Profile (2)'!$B$4:$B$50,Results!$D$3),"")</f>
        <v>0.45345697647193617</v>
      </c>
      <c r="O10" s="150" t="s">
        <v>621</v>
      </c>
      <c r="P10" s="143">
        <f>IFERROR(INDEX('Employee Profile (2)'!$AC$4:$AC$50,MATCH(Results!$D$3,'Employee Profile (2)'!$B$4:$B$50,0))*$Q10,"")</f>
        <v>44172.357725703529</v>
      </c>
      <c r="Q10" s="148">
        <f>IFERROR(SUMIFS('Employee Profile (2)'!K$4:K$50,'Employee Profile (2)'!$B$4:$B$50,Results!$D$3),"")</f>
        <v>0.2332755468543731</v>
      </c>
      <c r="R10" s="150" t="s">
        <v>628</v>
      </c>
      <c r="S10" s="144">
        <f>IFERROR(INDEX('Employee Profile (2)'!$AC$4:$AC$50,MATCH(Results!$D$3,'Employee Profile (2)'!$B$4:$B$50,0))*$T10,"")</f>
        <v>115157.06067580292</v>
      </c>
      <c r="T10" s="147">
        <f>IFERROR(SUMIFS('Employee Profile (2)'!O$4:O$50,'Employee Profile (2)'!$B$4:$B$50,Results!$D$3),"")</f>
        <v>0.60814789353339416</v>
      </c>
      <c r="U10" s="150" t="s">
        <v>633</v>
      </c>
      <c r="V10" s="144">
        <f>IFERROR(INDEX('Employee Profile (2)'!$AC$4:$AC$50,MATCH(Results!$D$3,'Employee Profile (2)'!$B$4:$B$50,0))*$W10,"")</f>
        <v>116277.70049168324</v>
      </c>
      <c r="W10" s="147">
        <f>IFERROR(SUMIFS('Employee Profile (2)'!T$4:T$50,'Employee Profile (2)'!$B$4:$B$50,Results!$D$3),"")</f>
        <v>0.61406602603380511</v>
      </c>
      <c r="X10" s="150" t="s">
        <v>636</v>
      </c>
      <c r="Y10" s="144">
        <f>IFERROR(INDEX('Employee Profile (2)'!$AC$4:$AC$50,MATCH(Results!$D$3,'Employee Profile (2)'!$B$4:$B$50,0))*$Z10,"")</f>
        <v>19273.023904174075</v>
      </c>
      <c r="Z10" s="147">
        <f>IFERROR(SUMIFS('Employee Profile (2)'!W$4:W$50,'Employee Profile (2)'!$B$4:$B$50,Results!$D$3),"")</f>
        <v>0.10178141766173987</v>
      </c>
      <c r="AA10" s="150" t="s">
        <v>676</v>
      </c>
      <c r="AB10" s="144">
        <f>IFERROR(INDEX('Employee Profile (2)'!$AC$4:$AC$50,MATCH(Results!$D$3,'Employee Profile (2)'!$B$4:$B$50))-$AB$9,"")</f>
        <v>152431</v>
      </c>
      <c r="AC10" s="147">
        <f>IFERROR(100%-$AC$9,"")</f>
        <v>0.8049926857734333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3262</v>
      </c>
      <c r="H11" s="158">
        <v>1590</v>
      </c>
      <c r="I11" s="158">
        <v>994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20450.261690553405</v>
      </c>
      <c r="N11" s="148">
        <f>IFERROR(SUMIFS('Employee Profile (2)'!E$4:E$50,'Employee Profile (2)'!$B$4:$B$50,Results!$D$3),"")</f>
        <v>0.10799844574297969</v>
      </c>
      <c r="O11" s="150" t="s">
        <v>622</v>
      </c>
      <c r="P11" s="143">
        <f>IFERROR(INDEX('Employee Profile (2)'!$AC$4:$AC$50,MATCH(Results!$D$3,'Employee Profile (2)'!$B$4:$B$50,0))*$Q11,"")</f>
        <v>45648.621456219269</v>
      </c>
      <c r="Q11" s="148">
        <f>IFERROR(SUMIFS('Employee Profile (2)'!L$4:L$50,'Employee Profile (2)'!$B$4:$B$50,Results!$D$3),"")</f>
        <v>0.24107173992099193</v>
      </c>
      <c r="R11" s="150" t="s">
        <v>629</v>
      </c>
      <c r="S11" s="144">
        <f>IFERROR(INDEX('Employee Profile (2)'!$AC$4:$AC$50,MATCH(Results!$D$3,'Employee Profile (2)'!$B$4:$B$50,0))*$T11,"")</f>
        <v>23225.920493775498</v>
      </c>
      <c r="T11" s="147">
        <f>IFERROR(SUMIFS('Employee Profile (2)'!P$4:P$50,'Employee Profile (2)'!$B$4:$B$50,Results!$D$3),"")</f>
        <v>0.12265678318612726</v>
      </c>
      <c r="U11" s="150" t="s">
        <v>53</v>
      </c>
      <c r="V11" s="144">
        <f>IFERROR(INDEX('Employee Profile (2)'!$AC$4:$AC$50,MATCH(Results!$D$3,'Employee Profile (2)'!$B$4:$B$50,0))*$W11,"")</f>
        <v>9592.8843498273891</v>
      </c>
      <c r="W11" s="147">
        <f>IFERROR(SUMIFS('Employee Profile (2)'!U$4:U$50,'Employee Profile (2)'!$B$4:$B$50,Results!$D$3),"")</f>
        <v>5.0660310153981043E-2</v>
      </c>
      <c r="X11" s="150" t="s">
        <v>637</v>
      </c>
      <c r="Y11" s="144">
        <f>IFERROR(INDEX('Employee Profile (2)'!$AC$4:$AC$50,MATCH(Results!$D$3,'Employee Profile (2)'!$B$4:$B$50,0))*$Z11,"")</f>
        <v>4638.2036823935559</v>
      </c>
      <c r="Z11" s="147">
        <f>IFERROR(SUMIFS('Employee Profile (2)'!X$4:X$50,'Employee Profile (2)'!$B$4:$B$50,Results!$D$3),"")</f>
        <v>2.449449284892323E-2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750</v>
      </c>
      <c r="H12" s="158">
        <v>750</v>
      </c>
      <c r="I12" s="158">
        <v>750</v>
      </c>
      <c r="J12" s="158">
        <v>361</v>
      </c>
      <c r="L12" s="150" t="s">
        <v>659</v>
      </c>
      <c r="M12" s="143">
        <f>IFERROR(INDEX('Employee Profile (2)'!$AC$4:$AC$50,MATCH(Results!$D$3,'Employee Profile (2)'!$B$4:$B$50,0))*$N12,"")</f>
        <v>8231.7031593262891</v>
      </c>
      <c r="N12" s="148">
        <f>IFERROR(SUMIFS('Employee Profile (2)'!F$4:F$50,'Employee Profile (2)'!$B$4:$B$50,Results!$D$3),"")</f>
        <v>4.34718714350475E-2</v>
      </c>
      <c r="O12" s="150" t="s">
        <v>623</v>
      </c>
      <c r="P12" s="143">
        <f>IFERROR(INDEX('Employee Profile (2)'!$AC$4:$AC$50,MATCH(Results!$D$3,'Employee Profile (2)'!$B$4:$B$50,0))*$Q12,"")</f>
        <v>11112.068207971546</v>
      </c>
      <c r="Q12" s="148">
        <f>IFERROR(SUMIFS('Employee Profile (2)'!M$4:M$50,'Employee Profile (2)'!$B$4:$B$50,Results!$D$3),"")</f>
        <v>5.868316570272842E-2</v>
      </c>
      <c r="R12" s="150" t="s">
        <v>630</v>
      </c>
      <c r="S12" s="144">
        <f>IFERROR(INDEX('Employee Profile (2)'!$AC$4:$AC$50,MATCH(Results!$D$3,'Employee Profile (2)'!$B$4:$B$50,0))*$T12,"")</f>
        <v>875.85359347212045</v>
      </c>
      <c r="T12" s="147">
        <f>IFERROR(SUMIFS('Employee Profile (2)'!Q$4:Q$50,'Employee Profile (2)'!$B$4:$B$50,Results!$D$3),"")</f>
        <v>4.6254091133262594E-3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19246.611517941208</v>
      </c>
      <c r="Z12" s="147">
        <f>IFERROR(SUMIFS('Employee Profile (2)'!Y$4:Y$50,'Employee Profile (2)'!$B$4:$B$50,Results!$D$3),"")</f>
        <v>0.10164193305735308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706.53133172926039</v>
      </c>
      <c r="N13" s="148">
        <f>IFERROR(SUMIFS('Employee Profile (2)'!G$4:G$50,'Employee Profile (2)'!$B$4:$B$50,Results!$D$3),"")</f>
        <v>3.731213167346654E-3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42589.029500993827</v>
      </c>
      <c r="T13" s="147">
        <f>IFERROR(SUMIFS('Employee Profile (2)'!R$4:R$50,'Employee Profile (2)'!$B$4:$B$50,Results!$D$3),"")</f>
        <v>0.22491394298068637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9592.8843498273891</v>
      </c>
      <c r="Z13" s="147">
        <f>IFERROR(SUMIFS('Employee Profile (2)'!Z$4:Z$50,'Employee Profile (2)'!$B$4:$B$50,Results!$D$3),"")</f>
        <v>5.0660310153981043E-2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31.600533528611781</v>
      </c>
      <c r="N14" s="148">
        <f>IFERROR(SUMIFS('Employee Profile (2)'!H$4:H$50,'Employee Profile (2)'!$B$4:$B$50,Results!$D$3),"")</f>
        <v>1.6688336596276757E-4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4362</v>
      </c>
      <c r="H15" s="112">
        <f t="shared" ref="H15:J15" si="0">SUM(H9:H14)</f>
        <v>2690</v>
      </c>
      <c r="I15" s="112">
        <f t="shared" si="0"/>
        <v>2094</v>
      </c>
      <c r="J15" s="112">
        <f t="shared" si="0"/>
        <v>361</v>
      </c>
      <c r="L15" s="150" t="s">
        <v>53</v>
      </c>
      <c r="M15" s="143">
        <f>IFERROR(INDEX('Employee Profile (2)'!$AC$4:$AC$50,MATCH(Results!$D$3,'Employee Profile (2)'!$B$4:$B$50,0))*$N15,"")</f>
        <v>9563.6420650695673</v>
      </c>
      <c r="N15" s="148">
        <f>IFERROR(SUMIFS('Employee Profile (2)'!I$4:I$50,'Employee Profile (2)'!$B$4:$B$50,Results!$D$3),"")</f>
        <v>5.0505880770552805E-2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4362</v>
      </c>
      <c r="H16" s="82">
        <f>SUMIFS($W$64:$W$509,$C$64:$C$509,"Total")</f>
        <v>2690</v>
      </c>
      <c r="I16" s="82">
        <f>SUMIFS($AE$64:$AE$509,$C$64:$C$509,"Total")</f>
        <v>2094</v>
      </c>
      <c r="J16" s="82">
        <f>SUMIFS($AM$64:$AM$509,$C$64:$C$509,"Total")</f>
        <v>361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37285</v>
      </c>
      <c r="G29" s="87">
        <f t="shared" ref="G29:G44" si="4">SUMIFS($K$64:$K$509,$A$64:$A$509,B29,$C$64:$C$509,"Total")</f>
        <v>275.70236291932201</v>
      </c>
      <c r="H29" s="83">
        <f t="shared" ref="H29:H44" si="5">SUMIFS($J$64:$J$509,$A$64:$A$509,B29,$C$64:$C$509,"Total")</f>
        <v>10279562.601446921</v>
      </c>
      <c r="I29" s="21">
        <f t="shared" ref="I29:I44" si="6">-SUMIFS($O$64:$O$509,$A$64:$A$509,$B29,$C$64:$C$509,"Total")+SUMIFS($N$64:$N$509,$A$64:$A$509,$B29,$C$64:$C$509,"Total")</f>
        <v>273</v>
      </c>
      <c r="J29" s="88">
        <f t="shared" ref="J29:J44" si="7">SUMIFS($P$64:$P$509,$A$64:$A$509,$B29,$C$64:$C$509,"Total")</f>
        <v>37558</v>
      </c>
      <c r="K29" s="88">
        <f t="shared" ref="K29:K44" si="8">SUMIFS($M$64:$M$509,$A$64:$A$509,$B29,$C$64:$C$509,"Total")</f>
        <v>298.22100113047719</v>
      </c>
      <c r="L29" s="88">
        <f t="shared" ref="L29:L44" si="9">SUMIFS($R$64:$R$509,$A$64:$A$509,$B29,$C$64:$C$509,"Total")+SUMIFS($Q$64:$Q$509,$A$64:$A$509,$B29,$C$64:$C$509,"Total")</f>
        <v>50462.81719038327</v>
      </c>
      <c r="M29" s="88">
        <f t="shared" ref="M29:M44" si="10">SUMIFS($S$64:$S$509,$A$64:$A$509,$B29,$C$64:$C$509,"Total")</f>
        <v>11200584.360458462</v>
      </c>
      <c r="N29" s="88">
        <f t="shared" ref="N29:N44" si="11">SUMIFS($S$64:$S$509,$A$64:$A$509,$B29,$C$64:$C$509,"Compensation Budget")</f>
        <v>11205496</v>
      </c>
      <c r="O29" s="89">
        <f t="shared" ref="O29:O44" si="12">SUMIFS($S$64:$S$509,$A$64:$A$509,$B29,$C$64:$C$509,"Under/(Over)")</f>
        <v>4911.6395415384322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37558</v>
      </c>
      <c r="R29" s="88">
        <f t="shared" ref="R29:R44" si="15">SUMIFS($U$64:$U$509,$A$64:$A$509,$B29,$C$64:$C$509,"Total")</f>
        <v>322.85397563080409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12125749.616741739</v>
      </c>
      <c r="U29" s="88">
        <f t="shared" ref="U29:U44" si="18">SUMIFS($AA$64:$AA$509,$A$64:$A$509,$B29,$C$64:$C$509,"Compensation Budget")</f>
        <v>12004745</v>
      </c>
      <c r="V29" s="89">
        <f t="shared" ref="V29:V44" si="19">SUMIFS($AA$64:$AA$509,$A$64:$A$509,$B29,$C$64:$C$509,"Under/(Over)")</f>
        <v>-121004.61674173921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37558</v>
      </c>
      <c r="Y29" s="88">
        <f t="shared" ref="Y29:Y44" si="22">SUMIFS($AC$64:$AC$509,$A$64:$A$509,$B29,$C$64:$C$509,"Total")</f>
        <v>349.19585017369025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13115097.740823459</v>
      </c>
      <c r="AB29" s="88">
        <f t="shared" ref="AB29:AB44" si="25">SUMIFS($AI$64:$AI$509,$A$64:$A$509,$B29,$C$64:$C$509,"Compensation Budget")</f>
        <v>12800794</v>
      </c>
      <c r="AC29" s="89">
        <f t="shared" ref="AC29:AC44" si="26">SUMIFS($AI$64:$AI$509,$A$64:$A$509,$B29,$C$64:$C$509,"Under/(Over)")</f>
        <v>-314303.74082345888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37558</v>
      </c>
      <c r="AF29" s="88">
        <f t="shared" ref="AF29:AF44" si="29">SUMIFS($AK$64:$AK$509,$A$64:$A$509,$B29,$C$64:$C$509,"Total")</f>
        <v>376.98120789796491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14158660.206231765</v>
      </c>
      <c r="AI29" s="88">
        <f t="shared" ref="AI29:AI44" si="32">SUMIFS($AQ$64:$AQ$509,$A$64:$A$509,$B29,$C$64:$C$509,"Compensation Budget")</f>
        <v>13773654.344000001</v>
      </c>
      <c r="AJ29" s="89">
        <f t="shared" ref="AJ29:AJ44" si="33">SUMIFS($AQ$64:$AQ$509,$A$64:$A$509,$B29,$C$64:$C$509,"Under/(Over)")</f>
        <v>-385005.86223176494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Visible Policing</v>
      </c>
      <c r="D30" s="222">
        <f t="shared" si="2"/>
        <v>0</v>
      </c>
      <c r="E30" s="223">
        <f t="shared" si="2"/>
        <v>0</v>
      </c>
      <c r="F30" s="80">
        <f t="shared" si="3"/>
        <v>102731</v>
      </c>
      <c r="G30" s="155">
        <f t="shared" si="4"/>
        <v>292.68207851580848</v>
      </c>
      <c r="H30" s="155">
        <f t="shared" si="5"/>
        <v>30067522.60800752</v>
      </c>
      <c r="I30" s="23">
        <f t="shared" si="6"/>
        <v>-2127</v>
      </c>
      <c r="J30" s="22">
        <f t="shared" si="7"/>
        <v>100604</v>
      </c>
      <c r="K30" s="22">
        <f t="shared" si="8"/>
        <v>317.54704709415262</v>
      </c>
      <c r="L30" s="22">
        <f t="shared" si="9"/>
        <v>-695469.8673697128</v>
      </c>
      <c r="M30" s="22">
        <f t="shared" si="10"/>
        <v>31946503.125860132</v>
      </c>
      <c r="N30" s="22">
        <f t="shared" si="11"/>
        <v>32304514</v>
      </c>
      <c r="O30" s="91">
        <f t="shared" si="12"/>
        <v>358010.87413986772</v>
      </c>
      <c r="P30" s="23">
        <f t="shared" si="13"/>
        <v>-2501</v>
      </c>
      <c r="Q30" s="22">
        <f t="shared" si="14"/>
        <v>98103</v>
      </c>
      <c r="R30" s="22">
        <f t="shared" si="15"/>
        <v>342.10168950494807</v>
      </c>
      <c r="S30" s="22">
        <f t="shared" si="16"/>
        <v>-1029472.7813283642</v>
      </c>
      <c r="T30" s="22">
        <f t="shared" si="17"/>
        <v>33561202.045503922</v>
      </c>
      <c r="U30" s="22">
        <f t="shared" si="18"/>
        <v>34474573</v>
      </c>
      <c r="V30" s="91">
        <f t="shared" si="19"/>
        <v>913370.95449607819</v>
      </c>
      <c r="W30" s="23">
        <f t="shared" si="20"/>
        <v>-2094</v>
      </c>
      <c r="X30" s="22">
        <f t="shared" si="21"/>
        <v>96009</v>
      </c>
      <c r="Y30" s="22">
        <f t="shared" si="22"/>
        <v>368.42054180032977</v>
      </c>
      <c r="Z30" s="22">
        <f t="shared" si="23"/>
        <v>-932986.91731036303</v>
      </c>
      <c r="AA30" s="22">
        <f t="shared" si="24"/>
        <v>35371687.797707863</v>
      </c>
      <c r="AB30" s="22">
        <f t="shared" si="25"/>
        <v>36807765</v>
      </c>
      <c r="AC30" s="91">
        <f t="shared" si="26"/>
        <v>1436077.2022921368</v>
      </c>
      <c r="AD30" s="23">
        <f t="shared" si="27"/>
        <v>-361</v>
      </c>
      <c r="AE30" s="22">
        <f t="shared" si="28"/>
        <v>95648</v>
      </c>
      <c r="AF30" s="22">
        <f t="shared" si="29"/>
        <v>397.47271806454069</v>
      </c>
      <c r="AG30" s="22">
        <f t="shared" si="30"/>
        <v>-173732.60771941073</v>
      </c>
      <c r="AH30" s="22">
        <f t="shared" si="31"/>
        <v>38017470.537437186</v>
      </c>
      <c r="AI30" s="22">
        <f t="shared" si="32"/>
        <v>39605155.140000001</v>
      </c>
      <c r="AJ30" s="91">
        <f t="shared" si="33"/>
        <v>1587684.602562815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Detective Services</v>
      </c>
      <c r="D31" s="222">
        <f t="shared" si="2"/>
        <v>0</v>
      </c>
      <c r="E31" s="223">
        <f t="shared" si="2"/>
        <v>0</v>
      </c>
      <c r="F31" s="80">
        <f t="shared" si="3"/>
        <v>38766</v>
      </c>
      <c r="G31" s="155">
        <f t="shared" si="4"/>
        <v>315.77770904649469</v>
      </c>
      <c r="H31" s="155">
        <f t="shared" si="5"/>
        <v>12241438.668896414</v>
      </c>
      <c r="I31" s="23">
        <f t="shared" si="6"/>
        <v>647</v>
      </c>
      <c r="J31" s="22">
        <f t="shared" si="7"/>
        <v>39413</v>
      </c>
      <c r="K31" s="22">
        <f t="shared" si="8"/>
        <v>343.84852807530643</v>
      </c>
      <c r="L31" s="22">
        <f t="shared" si="9"/>
        <v>257246.49166427713</v>
      </c>
      <c r="M31" s="22">
        <f t="shared" si="10"/>
        <v>13552102.037032053</v>
      </c>
      <c r="N31" s="22">
        <f t="shared" si="11"/>
        <v>13227372</v>
      </c>
      <c r="O31" s="91">
        <f t="shared" si="12"/>
        <v>-324730.03703205287</v>
      </c>
      <c r="P31" s="23">
        <f t="shared" si="13"/>
        <v>-188</v>
      </c>
      <c r="Q31" s="22">
        <f t="shared" si="14"/>
        <v>39225</v>
      </c>
      <c r="R31" s="22">
        <f t="shared" si="15"/>
        <v>371.95281464283585</v>
      </c>
      <c r="S31" s="22">
        <f t="shared" si="16"/>
        <v>-85668.052282787277</v>
      </c>
      <c r="T31" s="22">
        <f t="shared" si="17"/>
        <v>14589849.154365236</v>
      </c>
      <c r="U31" s="22">
        <f t="shared" si="18"/>
        <v>14080413</v>
      </c>
      <c r="V31" s="91">
        <f t="shared" si="19"/>
        <v>-509436.15436523594</v>
      </c>
      <c r="W31" s="23">
        <f t="shared" si="20"/>
        <v>0</v>
      </c>
      <c r="X31" s="22">
        <f t="shared" si="21"/>
        <v>39225</v>
      </c>
      <c r="Y31" s="22">
        <f t="shared" si="22"/>
        <v>402.40942726981433</v>
      </c>
      <c r="Z31" s="22">
        <f t="shared" si="23"/>
        <v>0</v>
      </c>
      <c r="AA31" s="22">
        <f t="shared" si="24"/>
        <v>15784509.784658467</v>
      </c>
      <c r="AB31" s="22">
        <f t="shared" si="25"/>
        <v>15035440</v>
      </c>
      <c r="AC31" s="91">
        <f t="shared" si="26"/>
        <v>-749069.7846584674</v>
      </c>
      <c r="AD31" s="23">
        <f t="shared" si="27"/>
        <v>0</v>
      </c>
      <c r="AE31" s="22">
        <f t="shared" si="28"/>
        <v>39225</v>
      </c>
      <c r="AF31" s="22">
        <f t="shared" si="29"/>
        <v>434.54545359787465</v>
      </c>
      <c r="AG31" s="22">
        <f t="shared" si="30"/>
        <v>0</v>
      </c>
      <c r="AH31" s="22">
        <f t="shared" si="31"/>
        <v>17045045.417376634</v>
      </c>
      <c r="AI31" s="22">
        <f t="shared" si="32"/>
        <v>16178133.440000001</v>
      </c>
      <c r="AJ31" s="91">
        <f t="shared" si="33"/>
        <v>-866911.97737663239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Crime Intelligence</v>
      </c>
      <c r="D32" s="222">
        <f t="shared" si="2"/>
        <v>0</v>
      </c>
      <c r="E32" s="223">
        <f t="shared" si="2"/>
        <v>0</v>
      </c>
      <c r="F32" s="80">
        <f t="shared" si="3"/>
        <v>9146</v>
      </c>
      <c r="G32" s="155">
        <f t="shared" si="4"/>
        <v>308.2585332091578</v>
      </c>
      <c r="H32" s="155">
        <f t="shared" si="5"/>
        <v>2819332.5447309571</v>
      </c>
      <c r="I32" s="23">
        <f t="shared" si="6"/>
        <v>135</v>
      </c>
      <c r="J32" s="22">
        <f t="shared" si="7"/>
        <v>9281</v>
      </c>
      <c r="K32" s="22">
        <f t="shared" si="8"/>
        <v>333.8759320014459</v>
      </c>
      <c r="L32" s="22">
        <f t="shared" si="9"/>
        <v>36927.17852199918</v>
      </c>
      <c r="M32" s="22">
        <f t="shared" si="10"/>
        <v>3098702.5249054194</v>
      </c>
      <c r="N32" s="22">
        <f t="shared" si="11"/>
        <v>3053973</v>
      </c>
      <c r="O32" s="91">
        <f t="shared" si="12"/>
        <v>-44729.524905419443</v>
      </c>
      <c r="P32" s="23">
        <f t="shared" si="13"/>
        <v>-1</v>
      </c>
      <c r="Q32" s="22">
        <f t="shared" si="14"/>
        <v>9280</v>
      </c>
      <c r="R32" s="22">
        <f t="shared" si="15"/>
        <v>361.57382515139096</v>
      </c>
      <c r="S32" s="22">
        <f t="shared" si="16"/>
        <v>-148.983299854866</v>
      </c>
      <c r="T32" s="22">
        <f t="shared" si="17"/>
        <v>3355405.0974049079</v>
      </c>
      <c r="U32" s="22">
        <f t="shared" si="18"/>
        <v>3227664</v>
      </c>
      <c r="V32" s="91">
        <f t="shared" si="19"/>
        <v>-127741.09740490792</v>
      </c>
      <c r="W32" s="23">
        <f t="shared" si="20"/>
        <v>0</v>
      </c>
      <c r="X32" s="22">
        <f t="shared" si="21"/>
        <v>9280</v>
      </c>
      <c r="Y32" s="22">
        <f t="shared" si="22"/>
        <v>391.1791625929979</v>
      </c>
      <c r="Z32" s="22">
        <f t="shared" si="23"/>
        <v>0</v>
      </c>
      <c r="AA32" s="22">
        <f t="shared" si="24"/>
        <v>3630142.6288630203</v>
      </c>
      <c r="AB32" s="22">
        <f t="shared" si="25"/>
        <v>3427826</v>
      </c>
      <c r="AC32" s="91">
        <f t="shared" si="26"/>
        <v>-202316.62886302033</v>
      </c>
      <c r="AD32" s="23">
        <f t="shared" si="27"/>
        <v>0</v>
      </c>
      <c r="AE32" s="22">
        <f t="shared" si="28"/>
        <v>9280</v>
      </c>
      <c r="AF32" s="22">
        <f t="shared" si="29"/>
        <v>422.41704471654339</v>
      </c>
      <c r="AG32" s="22">
        <f t="shared" si="30"/>
        <v>0</v>
      </c>
      <c r="AH32" s="22">
        <f t="shared" si="31"/>
        <v>3920030.1749695227</v>
      </c>
      <c r="AI32" s="22">
        <f t="shared" si="32"/>
        <v>3688340.7760000001</v>
      </c>
      <c r="AJ32" s="91">
        <f t="shared" si="33"/>
        <v>-231689.39896952268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Protection and Security Services</v>
      </c>
      <c r="D33" s="222">
        <f t="shared" si="2"/>
        <v>0</v>
      </c>
      <c r="E33" s="223">
        <f t="shared" si="2"/>
        <v>0</v>
      </c>
      <c r="F33" s="80">
        <f t="shared" si="3"/>
        <v>6802</v>
      </c>
      <c r="G33" s="155">
        <f t="shared" si="4"/>
        <v>304.39761215781306</v>
      </c>
      <c r="H33" s="155">
        <f t="shared" si="5"/>
        <v>2070512.5578974443</v>
      </c>
      <c r="I33" s="23">
        <f t="shared" si="6"/>
        <v>42</v>
      </c>
      <c r="J33" s="22">
        <f t="shared" si="7"/>
        <v>6844</v>
      </c>
      <c r="K33" s="22">
        <f t="shared" si="8"/>
        <v>330.53789286509198</v>
      </c>
      <c r="L33" s="22">
        <f t="shared" si="9"/>
        <v>13833.176190768985</v>
      </c>
      <c r="M33" s="22">
        <f t="shared" si="10"/>
        <v>2262201.3387686894</v>
      </c>
      <c r="N33" s="22">
        <f t="shared" si="11"/>
        <v>2279084</v>
      </c>
      <c r="O33" s="91">
        <f t="shared" si="12"/>
        <v>16882.661231310572</v>
      </c>
      <c r="P33" s="23">
        <f t="shared" si="13"/>
        <v>0</v>
      </c>
      <c r="Q33" s="22">
        <f t="shared" si="14"/>
        <v>6844</v>
      </c>
      <c r="R33" s="22">
        <f t="shared" si="15"/>
        <v>357.92517285446183</v>
      </c>
      <c r="S33" s="22">
        <f t="shared" si="16"/>
        <v>0</v>
      </c>
      <c r="T33" s="22">
        <f t="shared" si="17"/>
        <v>2449639.8830159367</v>
      </c>
      <c r="U33" s="22">
        <f t="shared" si="18"/>
        <v>2409378</v>
      </c>
      <c r="V33" s="91">
        <f t="shared" si="19"/>
        <v>-40261.883015936706</v>
      </c>
      <c r="W33" s="23">
        <f t="shared" si="20"/>
        <v>0</v>
      </c>
      <c r="X33" s="22">
        <f t="shared" si="21"/>
        <v>6844</v>
      </c>
      <c r="Y33" s="22">
        <f t="shared" si="22"/>
        <v>387.21964726997464</v>
      </c>
      <c r="Z33" s="22">
        <f t="shared" si="23"/>
        <v>0</v>
      </c>
      <c r="AA33" s="22">
        <f t="shared" si="24"/>
        <v>2650131.2659157063</v>
      </c>
      <c r="AB33" s="22">
        <f t="shared" si="25"/>
        <v>2583570</v>
      </c>
      <c r="AC33" s="91">
        <f t="shared" si="26"/>
        <v>-66561.265915706288</v>
      </c>
      <c r="AD33" s="23">
        <f t="shared" si="27"/>
        <v>0</v>
      </c>
      <c r="AE33" s="22">
        <f t="shared" si="28"/>
        <v>6844</v>
      </c>
      <c r="AF33" s="22">
        <f t="shared" si="29"/>
        <v>418.1280641563207</v>
      </c>
      <c r="AG33" s="22">
        <f t="shared" si="30"/>
        <v>0</v>
      </c>
      <c r="AH33" s="22">
        <f t="shared" si="31"/>
        <v>2861668.471085859</v>
      </c>
      <c r="AI33" s="22">
        <f t="shared" si="32"/>
        <v>2779921.3200000003</v>
      </c>
      <c r="AJ33" s="91">
        <f t="shared" si="33"/>
        <v>-81747.151085858699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194730</v>
      </c>
      <c r="G45" s="92">
        <f>IFERROR(H45/F45,0)</f>
        <v>295.16956288696787</v>
      </c>
      <c r="H45" s="92">
        <f>SUM(H29:H38)</f>
        <v>57478368.980979249</v>
      </c>
      <c r="I45" s="25">
        <f>SUM(I29:I38)</f>
        <v>-1030</v>
      </c>
      <c r="J45" s="92">
        <f>SUM(J29:J38)</f>
        <v>193700</v>
      </c>
      <c r="K45" s="92">
        <f>IFERROR(M45/J45,0)</f>
        <v>320.39284144049952</v>
      </c>
      <c r="L45" s="92">
        <f t="shared" ref="L45:Q45" si="34">SUM(L29:L38)</f>
        <v>-337000.20380228414</v>
      </c>
      <c r="M45" s="92">
        <f t="shared" si="34"/>
        <v>62060093.38702476</v>
      </c>
      <c r="N45" s="92">
        <f>INDEX('ENE17'!$C$2:$C$48,MATCH(Results!$D$3,'ENE17'!$A$2:$A$48,0))</f>
        <v>62038123</v>
      </c>
      <c r="O45" s="129">
        <f>N45-M45</f>
        <v>-21970.387024760246</v>
      </c>
      <c r="P45" s="25">
        <f t="shared" si="34"/>
        <v>-2690</v>
      </c>
      <c r="Q45" s="24">
        <f t="shared" si="34"/>
        <v>191010</v>
      </c>
      <c r="R45" s="92">
        <f>IFERROR(T45/Q45,0)</f>
        <v>345.96013715005358</v>
      </c>
      <c r="S45" s="24">
        <f>SUM(S29:S38)</f>
        <v>-1115289.8169110063</v>
      </c>
      <c r="T45" s="24">
        <f>SUM(T29:T38)</f>
        <v>66081845.797031738</v>
      </c>
      <c r="U45" s="207">
        <f>INDEX('ENE17'!$D$2:$D$48,MATCH(Results!$D$3,'ENE17'!$A$2:$A$48,0))</f>
        <v>66196773</v>
      </c>
      <c r="V45" s="24">
        <f>U45-T45</f>
        <v>114927.20296826214</v>
      </c>
      <c r="W45" s="25">
        <f t="shared" ref="W45:X45" si="35">SUM(W29:W38)</f>
        <v>-2094</v>
      </c>
      <c r="X45" s="24">
        <f t="shared" si="35"/>
        <v>188916</v>
      </c>
      <c r="Y45" s="92">
        <f>IFERROR(AA45/X45,0)</f>
        <v>373.45470589028196</v>
      </c>
      <c r="Z45" s="24">
        <f t="shared" ref="Z45:AA45" si="36">SUM(Z29:Z38)</f>
        <v>-932986.91731036303</v>
      </c>
      <c r="AA45" s="24">
        <f t="shared" si="36"/>
        <v>70551569.217968509</v>
      </c>
      <c r="AB45" s="207">
        <f>INDEX('ENE17'!$E$2:$E$48,MATCH(Results!$D$3,'ENE17'!$A$2:$A$48,0))</f>
        <v>70655395</v>
      </c>
      <c r="AC45" s="24">
        <f>AB45-AA45</f>
        <v>103825.7820314914</v>
      </c>
      <c r="AD45" s="25">
        <f t="shared" ref="AD45:AE45" si="37">SUM(AD29:AD38)</f>
        <v>-361</v>
      </c>
      <c r="AE45" s="24">
        <f t="shared" si="37"/>
        <v>188555</v>
      </c>
      <c r="AF45" s="92">
        <f>IFERROR(AH45/AE45,0)</f>
        <v>403.08066509560058</v>
      </c>
      <c r="AG45" s="24">
        <f t="shared" ref="AG45:AH45" si="38">SUM(AG29:AG38)</f>
        <v>-173732.60771941073</v>
      </c>
      <c r="AH45" s="24">
        <f t="shared" si="38"/>
        <v>76002874.807100967</v>
      </c>
      <c r="AI45" s="207">
        <f>INDEX('ENE17'!$F$2:$F$48,MATCH(Results!$D$3,'ENE17'!$A$2:$A$48,0))</f>
        <v>76025205</v>
      </c>
      <c r="AJ45" s="24">
        <f>AI45-AH45</f>
        <v>22330.192899033427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131435</v>
      </c>
      <c r="G51" s="193">
        <f>IFERROR(H51/F51,"")</f>
        <v>225.48706164396103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29636891.947174016</v>
      </c>
      <c r="I51" s="97">
        <f>SUMIFS($N$64:$N$509,$B$64:$B$509,$B51)-SUMIFS($O$64:$O$509,$B$64:$B$509,$B51)</f>
        <v>1876</v>
      </c>
      <c r="J51" s="80">
        <f>SUMIFS($P$64:$P$509,$B$64:$B$509,$B51)</f>
        <v>133311</v>
      </c>
      <c r="K51" s="80">
        <f>IFERROR(M51/J51,0)</f>
        <v>245.44862240872285</v>
      </c>
      <c r="L51" s="80">
        <f>SUMIFS($R$64:$R$509,$B$64:$B$509,$B51)+SUMIFS($Q$64:$Q$509,$B$64:$B$509,$B51)</f>
        <v>565809.70329943777</v>
      </c>
      <c r="M51" s="98">
        <f>SUMIFS($S$64:$S$509,$B$64:$B$509,$B51)</f>
        <v>32721001.301929254</v>
      </c>
      <c r="N51" s="80">
        <f>SUMIFS($V$64:$V$509,$B$64:$B$509,$B51)-SUMIFS($W$64:$W$509,$B$64:$B$509,$B51)</f>
        <v>-2</v>
      </c>
      <c r="O51" s="80">
        <f>SUMIFS($X$64:$X$509,$B$64:$B$509,$B51)</f>
        <v>133309</v>
      </c>
      <c r="P51" s="80">
        <f>IFERROR(R51/O51,0)</f>
        <v>265.72701347155174</v>
      </c>
      <c r="Q51" s="80">
        <f>SUMIFS($Z$64:$Z$509,$B$64:$B$509,$B51)+SUMIFS($Y$64:$Y$509,$B$64:$B$509,$B51)</f>
        <v>-302.47644280343661</v>
      </c>
      <c r="R51" s="80">
        <f>SUMIFS($AA$64:$AA$509,$B$64:$B$509,$B51)</f>
        <v>35423802.438879095</v>
      </c>
      <c r="S51" s="97">
        <f>SUMIFS($AD$64:$AD$509,$B$64:$B$509,$B51)-SUMIFS($AE$64:$AE$509,$B$64:$B$509,$B51)</f>
        <v>0</v>
      </c>
      <c r="T51" s="80">
        <f>SUMIFS($AF$64:$AF$509,$B$64:$B$509,$B51)</f>
        <v>133309</v>
      </c>
      <c r="U51" s="80">
        <f>IFERROR(W51/T51,0)</f>
        <v>287.41000064276938</v>
      </c>
      <c r="V51" s="80">
        <f>SUMIFS($AH$64:$AH$509,$B$64:$B$509,$B51)+SUMIFS($AG$64:$AG$509,$B$64:$B$509,$B51)</f>
        <v>0</v>
      </c>
      <c r="W51" s="98">
        <f>SUMIFS($AI$64:$AI$509,$B$64:$B$509,$B51)</f>
        <v>38314339.775686942</v>
      </c>
      <c r="X51" s="80">
        <f>SUMIFS($AL$64:$AL$509,$B$64:$B$509,$B51)-SUMIFS($AM$64:$AM$509,$B$64:$B$509,$B51)</f>
        <v>0</v>
      </c>
      <c r="Y51" s="80">
        <f>SUMIFS($AN$64:$AN$509,$B$64:$B$509,$B51)</f>
        <v>133309</v>
      </c>
      <c r="Z51" s="80">
        <f>IFERROR(AB51/Y51,0)</f>
        <v>310.28058661473744</v>
      </c>
      <c r="AA51" s="80">
        <f>SUMIFS($AP$64:$AP$509,$B$64:$B$509,$B51)+SUMIFS($AO$64:$AO$509,$B$64:$B$509,$B51)</f>
        <v>0</v>
      </c>
      <c r="AB51" s="98">
        <f>SUMIFS($AQ$64:$AQ$509,$B$64:$B$509,$B51)</f>
        <v>41363194.721024036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60385</v>
      </c>
      <c r="G52" s="192">
        <f t="shared" ref="G52:G55" si="40">IFERROR(H52/F52,"")</f>
        <v>414.52715582469909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25031222.304474454</v>
      </c>
      <c r="I52" s="97">
        <f>SUMIFS($N$64:$N$509,$B$64:$B$509,$B52)-SUMIFS($O$64:$O$509,$B$64:$B$509,$B52)</f>
        <v>-2967</v>
      </c>
      <c r="J52" s="80">
        <f>SUMIFS($P$64:$P$509,$B$64:$B$509,$B52)</f>
        <v>57418</v>
      </c>
      <c r="K52" s="80">
        <f t="shared" ref="K52:K56" si="41">IFERROR(M52/J52,0)</f>
        <v>457.20779426749942</v>
      </c>
      <c r="L52" s="80">
        <f>SUMIFS($R$64:$R$509,$B$64:$B$509,$B52)+SUMIFS($Q$64:$Q$509,$B$64:$B$509,$B52)</f>
        <v>-966987.82771951065</v>
      </c>
      <c r="M52" s="98">
        <f>SUMIFS($S$64:$S$509,$B$64:$B$509,$B52)</f>
        <v>26251957.131251283</v>
      </c>
      <c r="N52" s="80">
        <f>SUMIFS($V$64:$V$509,$B$64:$B$509,$B52)-SUMIFS($W$64:$W$509,$B$64:$B$509,$B52)</f>
        <v>-2688</v>
      </c>
      <c r="O52" s="80">
        <f>SUMIFS($X$64:$X$509,$B$64:$B$509,$B52)</f>
        <v>54730</v>
      </c>
      <c r="P52" s="80">
        <f t="shared" ref="P52:P55" si="42">IFERROR(R52/O52,0)</f>
        <v>499.21413580483403</v>
      </c>
      <c r="Q52" s="80">
        <f>SUMIFS($Z$64:$Z$509,$B$64:$B$509,$B52)+SUMIFS($Y$64:$Y$509,$B$64:$B$509,$B52)</f>
        <v>-1114987.3404682027</v>
      </c>
      <c r="R52" s="80">
        <f>SUMIFS($AA$64:$AA$509,$B$64:$B$509,$B52)</f>
        <v>27321989.652598567</v>
      </c>
      <c r="S52" s="97">
        <f>SUMIFS($AD$64:$AD$509,$B$64:$B$509,$B52)-SUMIFS($AE$64:$AE$509,$B$64:$B$509,$B52)</f>
        <v>-2094</v>
      </c>
      <c r="T52" s="80">
        <f>SUMIFS($AF$64:$AF$509,$B$64:$B$509,$B52)</f>
        <v>52636</v>
      </c>
      <c r="U52" s="80">
        <f t="shared" ref="U52:U55" si="43">IFERROR(W52/T52,0)</f>
        <v>544.02870189832788</v>
      </c>
      <c r="V52" s="80">
        <f>SUMIFS($AH$64:$AH$509,$B$64:$B$509,$B52)+SUMIFS($AG$64:$AG$509,$B$64:$B$509,$B52)</f>
        <v>-932986.91731036303</v>
      </c>
      <c r="W52" s="98">
        <f>SUMIFS($AI$64:$AI$509,$B$64:$B$509,$B52)</f>
        <v>28635494.753120385</v>
      </c>
      <c r="X52" s="80">
        <f>SUMIFS($AL$64:$AL$509,$B$64:$B$509,$B52)-SUMIFS($AM$64:$AM$509,$B$64:$B$509,$B52)</f>
        <v>-361</v>
      </c>
      <c r="Y52" s="80">
        <f>SUMIFS($AN$64:$AN$509,$B$64:$B$509,$B52)</f>
        <v>52275</v>
      </c>
      <c r="Z52" s="80">
        <f t="shared" ref="Z52:Z55" si="44">IFERROR(AB52/Y52,0)</f>
        <v>588.39457135495718</v>
      </c>
      <c r="AA52" s="80">
        <f>SUMIFS($AP$64:$AP$509,$B$64:$B$509,$B52)+SUMIFS($AO$64:$AO$509,$B$64:$B$509,$B52)</f>
        <v>-173732.60771941073</v>
      </c>
      <c r="AB52" s="98">
        <f>SUMIFS($AQ$64:$AQ$509,$B$64:$B$509,$B52)</f>
        <v>30758326.217580386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2141</v>
      </c>
      <c r="G53" s="192">
        <f t="shared" si="40"/>
        <v>882.92596778899917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1890344.4970362473</v>
      </c>
      <c r="I53" s="97">
        <f>SUMIFS($N$64:$N$509,$B$64:$B$509,$B53)-SUMIFS($O$64:$O$509,$B$64:$B$509,$B53)</f>
        <v>41</v>
      </c>
      <c r="J53" s="80">
        <f>SUMIFS($P$64:$P$509,$B$64:$B$509,$B53)</f>
        <v>2182</v>
      </c>
      <c r="K53" s="80">
        <f t="shared" si="41"/>
        <v>962.52605032438487</v>
      </c>
      <c r="L53" s="80">
        <f>SUMIFS($R$64:$R$509,$B$64:$B$509,$B53)+SUMIFS($Q$64:$Q$509,$B$64:$B$509,$B53)</f>
        <v>39801.061402701904</v>
      </c>
      <c r="M53" s="98">
        <f>SUMIFS($S$64:$S$509,$B$64:$B$509,$B53)</f>
        <v>2100231.8418078078</v>
      </c>
      <c r="N53" s="80">
        <f>SUMIFS($V$64:$V$509,$B$64:$B$509,$B53)-SUMIFS($W$64:$W$509,$B$64:$B$509,$B53)</f>
        <v>0</v>
      </c>
      <c r="O53" s="80">
        <f>SUMIFS($X$64:$X$509,$B$64:$B$509,$B53)</f>
        <v>2182</v>
      </c>
      <c r="P53" s="80">
        <f t="shared" si="42"/>
        <v>1043.2804612301095</v>
      </c>
      <c r="Q53" s="80">
        <f>SUMIFS($Z$64:$Z$509,$B$64:$B$509,$B53)+SUMIFS($Y$64:$Y$509,$B$64:$B$509,$B53)</f>
        <v>0</v>
      </c>
      <c r="R53" s="80">
        <f>SUMIFS($AA$64:$AA$509,$B$64:$B$509,$B53)</f>
        <v>2276437.966404099</v>
      </c>
      <c r="S53" s="97">
        <f>SUMIFS($AD$64:$AD$509,$B$64:$B$509,$B53)-SUMIFS($AE$64:$AE$509,$B$64:$B$509,$B53)</f>
        <v>0</v>
      </c>
      <c r="T53" s="80">
        <f>SUMIFS($AF$64:$AF$509,$B$64:$B$509,$B53)</f>
        <v>2182</v>
      </c>
      <c r="U53" s="80">
        <f t="shared" si="43"/>
        <v>1129.7532076107088</v>
      </c>
      <c r="V53" s="80">
        <f>SUMIFS($AH$64:$AH$509,$B$64:$B$509,$B53)+SUMIFS($AG$64:$AG$509,$B$64:$B$509,$B53)</f>
        <v>0</v>
      </c>
      <c r="W53" s="98">
        <f>SUMIFS($AI$64:$AI$509,$B$64:$B$509,$B53)</f>
        <v>2465121.4990065666</v>
      </c>
      <c r="X53" s="80">
        <f>SUMIFS($AL$64:$AL$509,$B$64:$B$509,$B53)-SUMIFS($AM$64:$AM$509,$B$64:$B$509,$B53)</f>
        <v>0</v>
      </c>
      <c r="Y53" s="80">
        <f>SUMIFS($AN$64:$AN$509,$B$64:$B$509,$B53)</f>
        <v>2182</v>
      </c>
      <c r="Z53" s="80">
        <f t="shared" si="44"/>
        <v>1221.1044290956515</v>
      </c>
      <c r="AA53" s="80">
        <f>SUMIFS($AP$64:$AP$509,$B$64:$B$509,$B53)+SUMIFS($AO$64:$AO$509,$B$64:$B$509,$B53)</f>
        <v>0</v>
      </c>
      <c r="AB53" s="98">
        <f>SUMIFS($AQ$64:$AQ$509,$B$64:$B$509,$B53)</f>
        <v>2664449.8642867114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767</v>
      </c>
      <c r="G54" s="192">
        <f t="shared" si="40"/>
        <v>1193.8399378025445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915675.23229455156</v>
      </c>
      <c r="I54" s="97">
        <f>SUMIFS($N$64:$N$509,$B$64:$B$509,$B54)-SUMIFS($O$64:$O$509,$B$64:$B$509,$B54)</f>
        <v>20</v>
      </c>
      <c r="J54" s="80">
        <f>SUMIFS($P$64:$P$509,$B$64:$B$509,$B54)</f>
        <v>787</v>
      </c>
      <c r="K54" s="80">
        <f t="shared" si="41"/>
        <v>1248.447721774337</v>
      </c>
      <c r="L54" s="80">
        <f>SUMIFS($R$64:$R$509,$B$64:$B$509,$B54)+SUMIFS($Q$64:$Q$509,$B$64:$B$509,$B54)</f>
        <v>24376.859215086752</v>
      </c>
      <c r="M54" s="98">
        <f>SUMIFS($S$64:$S$509,$B$64:$B$509,$B54)</f>
        <v>982528.35703640315</v>
      </c>
      <c r="N54" s="80">
        <f>SUMIFS($V$64:$V$509,$B$64:$B$509,$B54)-SUMIFS($W$64:$W$509,$B$64:$B$509,$B54)</f>
        <v>0</v>
      </c>
      <c r="O54" s="80">
        <f>SUMIFS($X$64:$X$509,$B$64:$B$509,$B54)</f>
        <v>787</v>
      </c>
      <c r="P54" s="80">
        <f t="shared" si="42"/>
        <v>1340.5063517788988</v>
      </c>
      <c r="Q54" s="80">
        <f>SUMIFS($Z$64:$Z$509,$B$64:$B$509,$B54)+SUMIFS($Y$64:$Y$509,$B$64:$B$509,$B54)</f>
        <v>0</v>
      </c>
      <c r="R54" s="80">
        <f>SUMIFS($AA$64:$AA$509,$B$64:$B$509,$B54)</f>
        <v>1054978.4988499933</v>
      </c>
      <c r="S54" s="97">
        <f>SUMIFS($AD$64:$AD$509,$B$64:$B$509,$B54)-SUMIFS($AE$64:$AE$509,$B$64:$B$509,$B54)</f>
        <v>0</v>
      </c>
      <c r="T54" s="80">
        <f>SUMIFS($AF$64:$AF$509,$B$64:$B$509,$B54)</f>
        <v>787</v>
      </c>
      <c r="U54" s="80">
        <f t="shared" si="43"/>
        <v>1437.9953655361112</v>
      </c>
      <c r="V54" s="80">
        <f>SUMIFS($AH$64:$AH$509,$B$64:$B$509,$B54)+SUMIFS($AG$64:$AG$509,$B$64:$B$509,$B54)</f>
        <v>0</v>
      </c>
      <c r="W54" s="98">
        <f>SUMIFS($AI$64:$AI$509,$B$64:$B$509,$B54)</f>
        <v>1131702.3526769194</v>
      </c>
      <c r="X54" s="80">
        <f>SUMIFS($AL$64:$AL$509,$B$64:$B$509,$B54)-SUMIFS($AM$64:$AM$509,$B$64:$B$509,$B54)</f>
        <v>0</v>
      </c>
      <c r="Y54" s="80">
        <f>SUMIFS($AN$64:$AN$509,$B$64:$B$509,$B54)</f>
        <v>787</v>
      </c>
      <c r="Z54" s="80">
        <f t="shared" si="44"/>
        <v>1539.6610533620403</v>
      </c>
      <c r="AA54" s="80">
        <f>SUMIFS($AP$64:$AP$509,$B$64:$B$509,$B54)+SUMIFS($AO$64:$AO$509,$B$64:$B$509,$B54)</f>
        <v>0</v>
      </c>
      <c r="AB54" s="98">
        <f>SUMIFS($AQ$64:$AQ$509,$B$64:$B$509,$B54)</f>
        <v>1211713.2489959258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2117.5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4235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2187.3775000000001</v>
      </c>
      <c r="L55" s="102">
        <f>SUMIFS($R$64:$R$509,$B$64:$B$509,$B55)+SUMIFS($Q$64:$Q$509,$B$64:$B$509,$B55)</f>
        <v>0</v>
      </c>
      <c r="M55" s="103">
        <f>SUMIFS($S$64:$S$509,$B$64:$B$509,$B55)</f>
        <v>4374.7550000000001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2318.6201499999997</v>
      </c>
      <c r="Q55" s="80">
        <f>SUMIFS($Z$64:$Z$509,$B$64:$B$509,$B55)+SUMIFS($Y$64:$Y$509,$B$64:$B$509,$B55)</f>
        <v>0</v>
      </c>
      <c r="R55" s="80">
        <f>SUMIFS($AA$64:$AA$509,$B$64:$B$509,$B55)</f>
        <v>4637.2402999999995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2455.4187388499995</v>
      </c>
      <c r="V55" s="102">
        <f>SUMIFS($AH$64:$AH$509,$B$64:$B$509,$B55)+SUMIFS($AG$64:$AG$509,$B$64:$B$509,$B55)</f>
        <v>0</v>
      </c>
      <c r="W55" s="103">
        <f>SUMIFS($AI$64:$AI$509,$B$64:$B$509,$B55)</f>
        <v>4910.837477699999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2595.3776069644496</v>
      </c>
      <c r="AA55" s="80">
        <f>SUMIFS($AP$64:$AP$509,$B$64:$B$509,$B55)+SUMIFS($AO$64:$AO$509,$B$64:$B$509,$B55)</f>
        <v>0</v>
      </c>
      <c r="AB55" s="98">
        <f>SUMIFS($AQ$64:$AQ$509,$B$64:$B$509,$B55)</f>
        <v>5190.7552139288991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194730</v>
      </c>
      <c r="G56" s="92">
        <f t="shared" ref="G56" si="45">IFERROR(H56/F56,0)</f>
        <v>295.16956288696798</v>
      </c>
      <c r="H56" s="92">
        <f>SUM(H51:H55)</f>
        <v>57478368.980979271</v>
      </c>
      <c r="I56" s="92">
        <f>SUM(I51:I55)</f>
        <v>-1030</v>
      </c>
      <c r="J56" s="92">
        <f>SUM(J51:J55)</f>
        <v>193700</v>
      </c>
      <c r="K56" s="92">
        <f t="shared" si="41"/>
        <v>320.39284144049952</v>
      </c>
      <c r="L56" s="92">
        <f>SUM(L51:L55)</f>
        <v>-337000.20380228426</v>
      </c>
      <c r="M56" s="92">
        <f>SUM(M51:M55)</f>
        <v>62060093.387024753</v>
      </c>
      <c r="N56" s="92">
        <f t="shared" ref="N56:O56" si="46">SUM(N51:N55)</f>
        <v>-2690</v>
      </c>
      <c r="O56" s="92">
        <f t="shared" si="46"/>
        <v>191010</v>
      </c>
      <c r="P56" s="92">
        <f>IFERROR(R56/O56,0)</f>
        <v>345.9601371500537</v>
      </c>
      <c r="Q56" s="92">
        <f t="shared" ref="Q56" si="47">SUM(Q51:Q55)</f>
        <v>-1115289.8169110061</v>
      </c>
      <c r="R56" s="92">
        <f t="shared" ref="R56:T56" si="48">SUM(R51:R55)</f>
        <v>66081845.797031753</v>
      </c>
      <c r="S56" s="92">
        <f t="shared" si="48"/>
        <v>-2094</v>
      </c>
      <c r="T56" s="92">
        <f t="shared" si="48"/>
        <v>188916</v>
      </c>
      <c r="U56" s="92">
        <f>IFERROR(W56/T56,0)</f>
        <v>373.45470589028196</v>
      </c>
      <c r="V56" s="92">
        <f t="shared" ref="V56" si="49">SUM(V51:V55)</f>
        <v>-932986.91731036303</v>
      </c>
      <c r="W56" s="92">
        <f t="shared" ref="W56:Y56" si="50">SUM(W51:W55)</f>
        <v>70551569.217968509</v>
      </c>
      <c r="X56" s="92">
        <f t="shared" si="50"/>
        <v>-361</v>
      </c>
      <c r="Y56" s="92">
        <f t="shared" si="50"/>
        <v>188555</v>
      </c>
      <c r="Z56" s="92">
        <f>IFERROR(AB56/Y56,0)</f>
        <v>403.08066509560064</v>
      </c>
      <c r="AA56" s="92">
        <f t="shared" ref="AA56" si="51">SUM(AA51:AA55)</f>
        <v>-173732.60771941073</v>
      </c>
      <c r="AB56" s="104">
        <f t="shared" ref="AB56" si="52">SUM(AB51:AB55)</f>
        <v>76002874.807100981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319</v>
      </c>
      <c r="G64" s="35">
        <f>SUMIFS(WORKING!$AC$3:$AC$6802,WORKING!$A$3:$A$6802,Results!$D$3,WORKING!$B$3:$B$6802,Results!A64,WORKING!$C$3:$C$6802,Results!C64)/1000</f>
        <v>299939.7478699999</v>
      </c>
      <c r="H64" s="35">
        <f>IFERROR(G64/F64,0)</f>
        <v>940.24999332288371</v>
      </c>
      <c r="I64" s="156">
        <v>405</v>
      </c>
      <c r="J64" s="211">
        <v>47465.031872509957</v>
      </c>
      <c r="K64" s="217">
        <f>IFERROR(IF(J64="",G64,J64)/IF(I64="",F64,I64),"")</f>
        <v>117.19760956175298</v>
      </c>
      <c r="L64" s="34">
        <f t="shared" ref="L64:L80" si="54">IF(I64="",F64,I64)</f>
        <v>405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126.89884219338893</v>
      </c>
      <c r="N64" s="57">
        <v>0</v>
      </c>
      <c r="O64" s="57">
        <v>0</v>
      </c>
      <c r="P64" s="61">
        <f t="shared" ref="P64:P80" si="55">-O64+L64+N64</f>
        <v>405</v>
      </c>
      <c r="Q64" s="40">
        <f>M64*N64</f>
        <v>0</v>
      </c>
      <c r="R64" s="40">
        <f>-M64*O64</f>
        <v>0</v>
      </c>
      <c r="S64" s="44">
        <f>M64*P64</f>
        <v>51394.031088322517</v>
      </c>
      <c r="T64" s="35">
        <f>P64</f>
        <v>405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137.31673232486577</v>
      </c>
      <c r="V64" s="57">
        <v>0</v>
      </c>
      <c r="W64" s="57">
        <v>0</v>
      </c>
      <c r="X64" s="61">
        <f t="shared" ref="X64:X80" si="56">-W64+T64+V64</f>
        <v>405</v>
      </c>
      <c r="Y64" s="40">
        <f>U64*V64</f>
        <v>0</v>
      </c>
      <c r="Z64" s="40">
        <f>-U64*W64</f>
        <v>0</v>
      </c>
      <c r="AA64" s="44">
        <f>U64*X64</f>
        <v>55613.276591570633</v>
      </c>
      <c r="AB64" s="35">
        <f>X64</f>
        <v>405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148.45107371001504</v>
      </c>
      <c r="AD64" s="57">
        <v>0</v>
      </c>
      <c r="AE64" s="57">
        <v>0</v>
      </c>
      <c r="AF64" s="61">
        <f t="shared" ref="AF64:AF80" si="57">-AE64+AB64+AD64</f>
        <v>405</v>
      </c>
      <c r="AG64" s="40">
        <f>AC64*AD64</f>
        <v>0</v>
      </c>
      <c r="AH64" s="40">
        <f>-AC64*AE64</f>
        <v>0</v>
      </c>
      <c r="AI64" s="44">
        <f>AC64*AF64</f>
        <v>60122.684852556093</v>
      </c>
      <c r="AJ64" s="35">
        <f t="shared" ref="AJ64:AJ80" si="58">AF64</f>
        <v>405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160.18810031448288</v>
      </c>
      <c r="AL64" s="57">
        <v>0</v>
      </c>
      <c r="AM64" s="57">
        <v>0</v>
      </c>
      <c r="AN64" s="61">
        <f t="shared" ref="AN64:AN80" si="59">-AM64+AJ64+AL64</f>
        <v>405</v>
      </c>
      <c r="AO64" s="40">
        <f>AK64*AL64</f>
        <v>0</v>
      </c>
      <c r="AP64" s="40">
        <f>-AK64*AM64</f>
        <v>0</v>
      </c>
      <c r="AQ64" s="44">
        <f>AK64*AN64</f>
        <v>64876.180627365567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3434</v>
      </c>
      <c r="G65" s="35">
        <f>SUMIFS(WORKING!$AC$3:$AC$6802,WORKING!$A$3:$A$6802,Results!$D$3,WORKING!$B$3:$B$6802,Results!A65,WORKING!$C$3:$C$6802,Results!C65)/1000</f>
        <v>196876.61954999997</v>
      </c>
      <c r="H65" s="35">
        <f t="shared" ref="H65:H80" si="60">IFERROR(G65/F65,0)</f>
        <v>57.331572379149669</v>
      </c>
      <c r="I65" s="187">
        <v>3478</v>
      </c>
      <c r="J65" s="212">
        <v>435531.67171717173</v>
      </c>
      <c r="K65" s="217">
        <f t="shared" ref="K65:K80" si="61">IFERROR(IF(J65="",G65,J65)/IF(I65="",F65,I65),"")</f>
        <v>125.22474747474747</v>
      </c>
      <c r="L65" s="34">
        <f t="shared" si="54"/>
        <v>3478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135.17466287057098</v>
      </c>
      <c r="N65" s="57">
        <v>0</v>
      </c>
      <c r="O65" s="57">
        <v>0</v>
      </c>
      <c r="P65" s="61">
        <f t="shared" si="55"/>
        <v>3478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470137.47746384586</v>
      </c>
      <c r="T65" s="35">
        <f t="shared" ref="T65:T80" si="65">P65</f>
        <v>3478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146.1562652422609</v>
      </c>
      <c r="V65" s="57">
        <v>0</v>
      </c>
      <c r="W65" s="57">
        <v>0</v>
      </c>
      <c r="X65" s="61">
        <f t="shared" si="56"/>
        <v>3478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508331.4905125834</v>
      </c>
      <c r="AB65" s="35">
        <f t="shared" ref="AB65:AB80" si="69">X65</f>
        <v>3478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157.88236859835285</v>
      </c>
      <c r="AD65" s="57">
        <v>0</v>
      </c>
      <c r="AE65" s="57">
        <v>0</v>
      </c>
      <c r="AF65" s="61">
        <f t="shared" si="57"/>
        <v>3478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549114.87798507127</v>
      </c>
      <c r="AJ65" s="35">
        <f t="shared" si="58"/>
        <v>3478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170.23027410374561</v>
      </c>
      <c r="AL65" s="57">
        <v>0</v>
      </c>
      <c r="AM65" s="57">
        <v>0</v>
      </c>
      <c r="AN65" s="61">
        <f t="shared" si="59"/>
        <v>3478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592060.89333282725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4343</v>
      </c>
      <c r="G66" s="35">
        <f>SUMIFS(WORKING!$AC$3:$AC$6802,WORKING!$A$3:$A$6802,Results!$D$3,WORKING!$B$3:$B$6802,Results!A66,WORKING!$C$3:$C$6802,Results!C66)/1000</f>
        <v>670592.26090999984</v>
      </c>
      <c r="H66" s="35">
        <f t="shared" si="60"/>
        <v>154.40761245912961</v>
      </c>
      <c r="I66" s="187">
        <v>4408</v>
      </c>
      <c r="J66" s="212">
        <v>658143.32436348579</v>
      </c>
      <c r="K66" s="217">
        <f t="shared" si="61"/>
        <v>149.30656178844959</v>
      </c>
      <c r="L66" s="34">
        <f t="shared" si="54"/>
        <v>4408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161.64164158340495</v>
      </c>
      <c r="N66" s="57">
        <v>0</v>
      </c>
      <c r="O66" s="57">
        <v>0</v>
      </c>
      <c r="P66" s="61">
        <f t="shared" si="55"/>
        <v>4408</v>
      </c>
      <c r="Q66" s="40">
        <f t="shared" si="62"/>
        <v>0</v>
      </c>
      <c r="R66" s="40">
        <f t="shared" si="63"/>
        <v>0</v>
      </c>
      <c r="S66" s="44">
        <f t="shared" si="64"/>
        <v>712516.35609964898</v>
      </c>
      <c r="T66" s="35">
        <f t="shared" si="65"/>
        <v>4408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174.90519832572011</v>
      </c>
      <c r="V66" s="57">
        <v>0</v>
      </c>
      <c r="W66" s="57">
        <v>0</v>
      </c>
      <c r="X66" s="61">
        <f t="shared" si="56"/>
        <v>4408</v>
      </c>
      <c r="Y66" s="40">
        <f t="shared" si="66"/>
        <v>0</v>
      </c>
      <c r="Z66" s="40">
        <f t="shared" si="67"/>
        <v>0</v>
      </c>
      <c r="AA66" s="44">
        <f t="shared" si="68"/>
        <v>770982.11421977426</v>
      </c>
      <c r="AB66" s="35">
        <f t="shared" si="69"/>
        <v>4408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189.08029213577751</v>
      </c>
      <c r="AD66" s="57">
        <v>0</v>
      </c>
      <c r="AE66" s="57">
        <v>0</v>
      </c>
      <c r="AF66" s="61">
        <f t="shared" si="57"/>
        <v>4408</v>
      </c>
      <c r="AG66" s="40">
        <f t="shared" si="70"/>
        <v>0</v>
      </c>
      <c r="AH66" s="40">
        <f t="shared" si="71"/>
        <v>0</v>
      </c>
      <c r="AI66" s="44">
        <f t="shared" si="72"/>
        <v>833465.92773450725</v>
      </c>
      <c r="AJ66" s="35">
        <f t="shared" si="58"/>
        <v>4408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204.02192314805765</v>
      </c>
      <c r="AL66" s="57">
        <v>0</v>
      </c>
      <c r="AM66" s="57">
        <v>0</v>
      </c>
      <c r="AN66" s="61">
        <f t="shared" si="59"/>
        <v>4408</v>
      </c>
      <c r="AO66" s="40">
        <f t="shared" si="73"/>
        <v>0</v>
      </c>
      <c r="AP66" s="40">
        <f t="shared" si="74"/>
        <v>0</v>
      </c>
      <c r="AQ66" s="44">
        <f t="shared" si="75"/>
        <v>899328.63723663811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428</v>
      </c>
      <c r="G67" s="35">
        <f>SUMIFS(WORKING!$AC$3:$AC$6802,WORKING!$A$3:$A$6802,Results!$D$3,WORKING!$B$3:$B$6802,Results!A67,WORKING!$C$3:$C$6802,Results!C67)/1000</f>
        <v>48681.687949999992</v>
      </c>
      <c r="H67" s="35">
        <f t="shared" si="60"/>
        <v>113.74226156542055</v>
      </c>
      <c r="I67" s="187">
        <v>435</v>
      </c>
      <c r="J67" s="212">
        <v>67518.689320388294</v>
      </c>
      <c r="K67" s="217">
        <f t="shared" si="61"/>
        <v>155.21537774801908</v>
      </c>
      <c r="L67" s="34">
        <f t="shared" si="54"/>
        <v>435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168.11358086447819</v>
      </c>
      <c r="N67" s="57">
        <v>0</v>
      </c>
      <c r="O67" s="57">
        <v>0</v>
      </c>
      <c r="P67" s="61">
        <f t="shared" si="55"/>
        <v>435</v>
      </c>
      <c r="Q67" s="40">
        <f t="shared" si="62"/>
        <v>0</v>
      </c>
      <c r="R67" s="40">
        <f t="shared" si="63"/>
        <v>0</v>
      </c>
      <c r="S67" s="44">
        <f t="shared" si="64"/>
        <v>73129.407676048009</v>
      </c>
      <c r="T67" s="35">
        <f t="shared" si="65"/>
        <v>435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181.92894846247037</v>
      </c>
      <c r="V67" s="57">
        <v>0</v>
      </c>
      <c r="W67" s="57">
        <v>0</v>
      </c>
      <c r="X67" s="61">
        <f t="shared" si="56"/>
        <v>435</v>
      </c>
      <c r="Y67" s="40">
        <f t="shared" si="66"/>
        <v>0</v>
      </c>
      <c r="Z67" s="40">
        <f t="shared" si="67"/>
        <v>0</v>
      </c>
      <c r="AA67" s="44">
        <f t="shared" si="68"/>
        <v>79139.092581174613</v>
      </c>
      <c r="AB67" s="35">
        <f t="shared" si="69"/>
        <v>435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196.69571475485927</v>
      </c>
      <c r="AD67" s="57">
        <v>0</v>
      </c>
      <c r="AE67" s="57">
        <v>0</v>
      </c>
      <c r="AF67" s="61">
        <f t="shared" si="57"/>
        <v>435</v>
      </c>
      <c r="AG67" s="40">
        <f t="shared" si="70"/>
        <v>0</v>
      </c>
      <c r="AH67" s="40">
        <f t="shared" si="71"/>
        <v>0</v>
      </c>
      <c r="AI67" s="44">
        <f t="shared" si="72"/>
        <v>85562.635918363783</v>
      </c>
      <c r="AJ67" s="35">
        <f t="shared" si="58"/>
        <v>435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212.26334540598626</v>
      </c>
      <c r="AL67" s="57">
        <v>0</v>
      </c>
      <c r="AM67" s="57">
        <v>0</v>
      </c>
      <c r="AN67" s="61">
        <f t="shared" si="59"/>
        <v>435</v>
      </c>
      <c r="AO67" s="40">
        <f t="shared" si="73"/>
        <v>0</v>
      </c>
      <c r="AP67" s="40">
        <f t="shared" si="74"/>
        <v>0</v>
      </c>
      <c r="AQ67" s="44">
        <f t="shared" si="75"/>
        <v>92334.555251604019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13089</v>
      </c>
      <c r="G68" s="35">
        <f>SUMIFS(WORKING!$AC$3:$AC$6802,WORKING!$A$3:$A$6802,Results!$D$3,WORKING!$B$3:$B$6802,Results!A68,WORKING!$C$3:$C$6802,Results!C68)/1000</f>
        <v>2536729.0209800005</v>
      </c>
      <c r="H68" s="35">
        <f t="shared" si="60"/>
        <v>193.80617472534192</v>
      </c>
      <c r="I68" s="187">
        <v>13186</v>
      </c>
      <c r="J68" s="212">
        <v>2247663</v>
      </c>
      <c r="K68" s="217">
        <f t="shared" si="61"/>
        <v>170.45828909449415</v>
      </c>
      <c r="L68" s="34">
        <f t="shared" si="54"/>
        <v>13186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184.84548421385813</v>
      </c>
      <c r="N68" s="57">
        <v>273</v>
      </c>
      <c r="O68" s="57">
        <v>0</v>
      </c>
      <c r="P68" s="61">
        <f t="shared" si="55"/>
        <v>13459</v>
      </c>
      <c r="Q68" s="40">
        <f t="shared" si="62"/>
        <v>50462.81719038327</v>
      </c>
      <c r="R68" s="40">
        <f t="shared" si="63"/>
        <v>0</v>
      </c>
      <c r="S68" s="44">
        <f t="shared" si="64"/>
        <v>2487835.3720343164</v>
      </c>
      <c r="T68" s="35">
        <f t="shared" si="65"/>
        <v>13459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200.09808662712345</v>
      </c>
      <c r="V68" s="57">
        <v>0</v>
      </c>
      <c r="W68" s="57">
        <v>0</v>
      </c>
      <c r="X68" s="61">
        <f t="shared" si="56"/>
        <v>13459</v>
      </c>
      <c r="Y68" s="40">
        <f t="shared" si="66"/>
        <v>0</v>
      </c>
      <c r="Z68" s="40">
        <f t="shared" si="67"/>
        <v>0</v>
      </c>
      <c r="AA68" s="44">
        <f t="shared" si="68"/>
        <v>2693120.1479144543</v>
      </c>
      <c r="AB68" s="35">
        <f t="shared" si="69"/>
        <v>13459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216.40690714617841</v>
      </c>
      <c r="AD68" s="57">
        <v>0</v>
      </c>
      <c r="AE68" s="57">
        <v>0</v>
      </c>
      <c r="AF68" s="61">
        <f t="shared" si="57"/>
        <v>13459</v>
      </c>
      <c r="AG68" s="40">
        <f t="shared" si="70"/>
        <v>0</v>
      </c>
      <c r="AH68" s="40">
        <f t="shared" si="71"/>
        <v>0</v>
      </c>
      <c r="AI68" s="44">
        <f t="shared" si="72"/>
        <v>2912620.5632804153</v>
      </c>
      <c r="AJ68" s="35">
        <f t="shared" si="58"/>
        <v>13459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233.60726455517511</v>
      </c>
      <c r="AL68" s="57">
        <v>0</v>
      </c>
      <c r="AM68" s="57">
        <v>0</v>
      </c>
      <c r="AN68" s="61">
        <f t="shared" si="59"/>
        <v>13459</v>
      </c>
      <c r="AO68" s="40">
        <f t="shared" si="73"/>
        <v>0</v>
      </c>
      <c r="AP68" s="40">
        <f t="shared" si="74"/>
        <v>0</v>
      </c>
      <c r="AQ68" s="44">
        <f t="shared" si="75"/>
        <v>3144120.1736481017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2577</v>
      </c>
      <c r="G69" s="35">
        <f>SUMIFS(WORKING!$AC$3:$AC$6802,WORKING!$A$3:$A$6802,Results!$D$3,WORKING!$B$3:$B$6802,Results!A69,WORKING!$C$3:$C$6802,Results!C69)/1000</f>
        <v>643330.71478000015</v>
      </c>
      <c r="H69" s="35">
        <f t="shared" si="60"/>
        <v>249.64327310050453</v>
      </c>
      <c r="I69" s="187">
        <v>2586</v>
      </c>
      <c r="J69" s="212">
        <v>660118.15402211202</v>
      </c>
      <c r="K69" s="217">
        <f t="shared" si="61"/>
        <v>255.26610751048415</v>
      </c>
      <c r="L69" s="34">
        <f t="shared" si="54"/>
        <v>2586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277.16857595380935</v>
      </c>
      <c r="N69" s="57">
        <v>0</v>
      </c>
      <c r="O69" s="57">
        <v>0</v>
      </c>
      <c r="P69" s="61">
        <f t="shared" si="55"/>
        <v>2586</v>
      </c>
      <c r="Q69" s="40">
        <f t="shared" si="62"/>
        <v>0</v>
      </c>
      <c r="R69" s="40">
        <f t="shared" si="63"/>
        <v>0</v>
      </c>
      <c r="S69" s="44">
        <f t="shared" si="64"/>
        <v>716757.93741655094</v>
      </c>
      <c r="T69" s="35">
        <f t="shared" si="65"/>
        <v>2586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300.1308290228705</v>
      </c>
      <c r="V69" s="57">
        <v>0</v>
      </c>
      <c r="W69" s="57">
        <v>0</v>
      </c>
      <c r="X69" s="61">
        <f t="shared" si="56"/>
        <v>2586</v>
      </c>
      <c r="Y69" s="40">
        <f t="shared" si="66"/>
        <v>0</v>
      </c>
      <c r="Z69" s="40">
        <f t="shared" si="67"/>
        <v>0</v>
      </c>
      <c r="AA69" s="44">
        <f t="shared" si="68"/>
        <v>776138.32385314314</v>
      </c>
      <c r="AB69" s="35">
        <f t="shared" si="69"/>
        <v>2586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324.69169808923522</v>
      </c>
      <c r="AD69" s="57">
        <v>0</v>
      </c>
      <c r="AE69" s="57">
        <v>0</v>
      </c>
      <c r="AF69" s="61">
        <f t="shared" si="57"/>
        <v>2586</v>
      </c>
      <c r="AG69" s="40">
        <f t="shared" si="70"/>
        <v>0</v>
      </c>
      <c r="AH69" s="40">
        <f t="shared" si="71"/>
        <v>0</v>
      </c>
      <c r="AI69" s="44">
        <f t="shared" si="72"/>
        <v>839652.7312587623</v>
      </c>
      <c r="AJ69" s="35">
        <f t="shared" si="58"/>
        <v>2586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350.60535012638275</v>
      </c>
      <c r="AL69" s="57">
        <v>0</v>
      </c>
      <c r="AM69" s="57">
        <v>0</v>
      </c>
      <c r="AN69" s="61">
        <f t="shared" si="59"/>
        <v>2586</v>
      </c>
      <c r="AO69" s="40">
        <f t="shared" si="73"/>
        <v>0</v>
      </c>
      <c r="AP69" s="40">
        <f t="shared" si="74"/>
        <v>0</v>
      </c>
      <c r="AQ69" s="44">
        <f t="shared" si="75"/>
        <v>906665.43542682577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4991</v>
      </c>
      <c r="G70" s="35">
        <f>SUMIFS(WORKING!$AC$3:$AC$6802,WORKING!$A$3:$A$6802,Results!$D$3,WORKING!$B$3:$B$6802,Results!A70,WORKING!$C$3:$C$6802,Results!C70)/1000</f>
        <v>1634276.6434799999</v>
      </c>
      <c r="H70" s="35">
        <f t="shared" si="60"/>
        <v>327.44472920857538</v>
      </c>
      <c r="I70" s="187">
        <v>5004</v>
      </c>
      <c r="J70" s="212">
        <v>1811436.2023939064</v>
      </c>
      <c r="K70" s="217">
        <f t="shared" si="61"/>
        <v>361.99764236488937</v>
      </c>
      <c r="L70" s="34">
        <f t="shared" si="54"/>
        <v>5004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393.42844431144965</v>
      </c>
      <c r="N70" s="57">
        <v>0</v>
      </c>
      <c r="O70" s="57">
        <v>0</v>
      </c>
      <c r="P70" s="61">
        <f t="shared" si="55"/>
        <v>5004</v>
      </c>
      <c r="Q70" s="40">
        <f t="shared" si="62"/>
        <v>0</v>
      </c>
      <c r="R70" s="40">
        <f t="shared" si="63"/>
        <v>0</v>
      </c>
      <c r="S70" s="44">
        <f t="shared" si="64"/>
        <v>1968715.9353344941</v>
      </c>
      <c r="T70" s="35">
        <f t="shared" si="65"/>
        <v>5004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426.11893912224048</v>
      </c>
      <c r="V70" s="57">
        <v>0</v>
      </c>
      <c r="W70" s="57">
        <v>0</v>
      </c>
      <c r="X70" s="61">
        <f t="shared" si="56"/>
        <v>5004</v>
      </c>
      <c r="Y70" s="40">
        <f t="shared" si="66"/>
        <v>0</v>
      </c>
      <c r="Z70" s="40">
        <f t="shared" si="67"/>
        <v>0</v>
      </c>
      <c r="AA70" s="44">
        <f t="shared" si="68"/>
        <v>2132299.1713676914</v>
      </c>
      <c r="AB70" s="35">
        <f t="shared" si="69"/>
        <v>5004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461.09435023304269</v>
      </c>
      <c r="AD70" s="57">
        <v>0</v>
      </c>
      <c r="AE70" s="57">
        <v>0</v>
      </c>
      <c r="AF70" s="61">
        <f t="shared" si="57"/>
        <v>5004</v>
      </c>
      <c r="AG70" s="40">
        <f t="shared" si="70"/>
        <v>0</v>
      </c>
      <c r="AH70" s="40">
        <f t="shared" si="71"/>
        <v>0</v>
      </c>
      <c r="AI70" s="44">
        <f t="shared" si="72"/>
        <v>2307316.1285661454</v>
      </c>
      <c r="AJ70" s="35">
        <f t="shared" si="58"/>
        <v>5004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498.0069319818914</v>
      </c>
      <c r="AL70" s="57">
        <v>0</v>
      </c>
      <c r="AM70" s="57">
        <v>0</v>
      </c>
      <c r="AN70" s="61">
        <f t="shared" si="59"/>
        <v>5004</v>
      </c>
      <c r="AO70" s="40">
        <f t="shared" si="73"/>
        <v>0</v>
      </c>
      <c r="AP70" s="40">
        <f t="shared" si="74"/>
        <v>0</v>
      </c>
      <c r="AQ70" s="44">
        <f t="shared" si="75"/>
        <v>2492026.6876373845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4380</v>
      </c>
      <c r="G71" s="35">
        <f>SUMIFS(WORKING!$AC$3:$AC$6802,WORKING!$A$3:$A$6802,Results!$D$3,WORKING!$B$3:$B$6802,Results!A71,WORKING!$C$3:$C$6802,Results!C71)/1000</f>
        <v>1769112.8156999999</v>
      </c>
      <c r="H71" s="35">
        <f>IFERROR(G71/F71,0)</f>
        <v>403.90703554794521</v>
      </c>
      <c r="I71" s="187">
        <v>4400</v>
      </c>
      <c r="J71" s="212">
        <v>1935696</v>
      </c>
      <c r="K71" s="217">
        <f t="shared" si="61"/>
        <v>439.9309090909091</v>
      </c>
      <c r="L71" s="34">
        <f t="shared" si="54"/>
        <v>4400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478.43424700495689</v>
      </c>
      <c r="N71" s="57">
        <v>0</v>
      </c>
      <c r="O71" s="57">
        <v>0</v>
      </c>
      <c r="P71" s="61">
        <f t="shared" si="55"/>
        <v>4400</v>
      </c>
      <c r="Q71" s="40">
        <f t="shared" si="62"/>
        <v>0</v>
      </c>
      <c r="R71" s="40">
        <f t="shared" si="63"/>
        <v>0</v>
      </c>
      <c r="S71" s="44">
        <f t="shared" si="64"/>
        <v>2105110.6868218104</v>
      </c>
      <c r="T71" s="35">
        <f t="shared" si="65"/>
        <v>4400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518.26765917098419</v>
      </c>
      <c r="V71" s="57">
        <v>0</v>
      </c>
      <c r="W71" s="57">
        <v>0</v>
      </c>
      <c r="X71" s="61">
        <f t="shared" si="56"/>
        <v>4400</v>
      </c>
      <c r="Y71" s="40">
        <f t="shared" si="66"/>
        <v>0</v>
      </c>
      <c r="Z71" s="40">
        <f t="shared" si="67"/>
        <v>0</v>
      </c>
      <c r="AA71" s="44">
        <f t="shared" si="68"/>
        <v>2280377.7003523302</v>
      </c>
      <c r="AB71" s="35">
        <f t="shared" si="69"/>
        <v>4400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560.89269999179533</v>
      </c>
      <c r="AD71" s="57">
        <v>0</v>
      </c>
      <c r="AE71" s="57">
        <v>0</v>
      </c>
      <c r="AF71" s="61">
        <f t="shared" si="57"/>
        <v>4400</v>
      </c>
      <c r="AG71" s="40">
        <f t="shared" si="70"/>
        <v>0</v>
      </c>
      <c r="AH71" s="40">
        <f t="shared" si="71"/>
        <v>0</v>
      </c>
      <c r="AI71" s="44">
        <f t="shared" si="72"/>
        <v>2467927.8799638995</v>
      </c>
      <c r="AJ71" s="35">
        <f t="shared" si="58"/>
        <v>4400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605.88748760526903</v>
      </c>
      <c r="AL71" s="57">
        <v>0</v>
      </c>
      <c r="AM71" s="57">
        <v>0</v>
      </c>
      <c r="AN71" s="61">
        <f t="shared" si="59"/>
        <v>4400</v>
      </c>
      <c r="AO71" s="40">
        <f t="shared" si="73"/>
        <v>0</v>
      </c>
      <c r="AP71" s="40">
        <f t="shared" si="74"/>
        <v>0</v>
      </c>
      <c r="AQ71" s="44">
        <f t="shared" si="75"/>
        <v>2665904.9454631838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4</v>
      </c>
      <c r="G72" s="35">
        <f>SUMIFS(WORKING!$AC$3:$AC$6802,WORKING!$A$3:$A$6802,Results!$D$3,WORKING!$B$3:$B$6802,Results!A72,WORKING!$C$3:$C$6802,Results!C72)/1000</f>
        <v>2196.2774699999995</v>
      </c>
      <c r="H72" s="35">
        <f t="shared" si="60"/>
        <v>549.06936749999988</v>
      </c>
      <c r="I72" s="187">
        <v>5</v>
      </c>
      <c r="J72" s="212">
        <v>2503.3333333333298</v>
      </c>
      <c r="K72" s="217">
        <f>IFERROR(IF(J72="",G72,J72)/IF(I72="",F72,I72),"")</f>
        <v>500.66666666666595</v>
      </c>
      <c r="L72" s="34">
        <f t="shared" si="54"/>
        <v>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544.60454060357927</v>
      </c>
      <c r="N72" s="57">
        <v>0</v>
      </c>
      <c r="O72" s="57">
        <v>0</v>
      </c>
      <c r="P72" s="61">
        <f t="shared" si="55"/>
        <v>5</v>
      </c>
      <c r="Q72" s="40">
        <f t="shared" si="62"/>
        <v>0</v>
      </c>
      <c r="R72" s="40">
        <f t="shared" si="63"/>
        <v>0</v>
      </c>
      <c r="S72" s="44">
        <f t="shared" si="64"/>
        <v>2723.0227030178962</v>
      </c>
      <c r="T72" s="35">
        <f t="shared" si="65"/>
        <v>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590.00835093986575</v>
      </c>
      <c r="V72" s="57">
        <v>0</v>
      </c>
      <c r="W72" s="57">
        <v>0</v>
      </c>
      <c r="X72" s="61">
        <f t="shared" si="56"/>
        <v>5</v>
      </c>
      <c r="Y72" s="40">
        <f t="shared" si="66"/>
        <v>0</v>
      </c>
      <c r="Z72" s="40">
        <f t="shared" si="67"/>
        <v>0</v>
      </c>
      <c r="AA72" s="44">
        <f t="shared" si="68"/>
        <v>2950.0417546993285</v>
      </c>
      <c r="AB72" s="35">
        <f t="shared" si="69"/>
        <v>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638.60031626956265</v>
      </c>
      <c r="AD72" s="57">
        <v>0</v>
      </c>
      <c r="AE72" s="57">
        <v>0</v>
      </c>
      <c r="AF72" s="61">
        <f t="shared" si="57"/>
        <v>5</v>
      </c>
      <c r="AG72" s="40">
        <f t="shared" si="70"/>
        <v>0</v>
      </c>
      <c r="AH72" s="40">
        <f t="shared" si="71"/>
        <v>0</v>
      </c>
      <c r="AI72" s="44">
        <f t="shared" si="72"/>
        <v>3193.001581347813</v>
      </c>
      <c r="AJ72" s="35">
        <f t="shared" si="58"/>
        <v>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689.9015166149693</v>
      </c>
      <c r="AL72" s="57">
        <v>0</v>
      </c>
      <c r="AM72" s="57">
        <v>0</v>
      </c>
      <c r="AN72" s="61">
        <f t="shared" si="59"/>
        <v>5</v>
      </c>
      <c r="AO72" s="40">
        <f t="shared" si="73"/>
        <v>0</v>
      </c>
      <c r="AP72" s="40">
        <f t="shared" si="74"/>
        <v>0</v>
      </c>
      <c r="AQ72" s="44">
        <f t="shared" si="75"/>
        <v>3449.5075830748465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2334</v>
      </c>
      <c r="G73" s="35">
        <f>SUMIFS(WORKING!$AC$3:$AC$6802,WORKING!$A$3:$A$6802,Results!$D$3,WORKING!$B$3:$B$6802,Results!A73,WORKING!$C$3:$C$6802,Results!C73)/1000</f>
        <v>1107502.2668799998</v>
      </c>
      <c r="H73" s="35">
        <f t="shared" si="60"/>
        <v>474.50825487574969</v>
      </c>
      <c r="I73" s="187">
        <v>2345</v>
      </c>
      <c r="J73" s="212">
        <v>1328089.1279644268</v>
      </c>
      <c r="K73" s="217">
        <f t="shared" si="61"/>
        <v>566.34930830039525</v>
      </c>
      <c r="L73" s="34">
        <f t="shared" si="54"/>
        <v>2345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616.19494911914819</v>
      </c>
      <c r="N73" s="57">
        <v>0</v>
      </c>
      <c r="O73" s="57">
        <v>0</v>
      </c>
      <c r="P73" s="61">
        <f t="shared" si="55"/>
        <v>2345</v>
      </c>
      <c r="Q73" s="40">
        <f t="shared" si="62"/>
        <v>0</v>
      </c>
      <c r="R73" s="40">
        <f t="shared" si="63"/>
        <v>0</v>
      </c>
      <c r="S73" s="44">
        <f t="shared" si="64"/>
        <v>1444977.1556844024</v>
      </c>
      <c r="T73" s="35">
        <f t="shared" si="65"/>
        <v>2345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667.57750341706003</v>
      </c>
      <c r="V73" s="57">
        <v>0</v>
      </c>
      <c r="W73" s="57">
        <v>0</v>
      </c>
      <c r="X73" s="61">
        <f t="shared" si="56"/>
        <v>2345</v>
      </c>
      <c r="Y73" s="40">
        <f t="shared" si="66"/>
        <v>0</v>
      </c>
      <c r="Z73" s="40">
        <f t="shared" si="67"/>
        <v>0</v>
      </c>
      <c r="AA73" s="44">
        <f t="shared" si="68"/>
        <v>1565469.2455130059</v>
      </c>
      <c r="AB73" s="35">
        <f t="shared" si="69"/>
        <v>2345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722.56862015999297</v>
      </c>
      <c r="AD73" s="57">
        <v>0</v>
      </c>
      <c r="AE73" s="57">
        <v>0</v>
      </c>
      <c r="AF73" s="61">
        <f t="shared" si="57"/>
        <v>2345</v>
      </c>
      <c r="AG73" s="40">
        <f t="shared" si="70"/>
        <v>0</v>
      </c>
      <c r="AH73" s="40">
        <f t="shared" si="71"/>
        <v>0</v>
      </c>
      <c r="AI73" s="44">
        <f t="shared" si="72"/>
        <v>1694423.4142751836</v>
      </c>
      <c r="AJ73" s="35">
        <f t="shared" si="58"/>
        <v>2345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780.62606797622084</v>
      </c>
      <c r="AL73" s="57">
        <v>0</v>
      </c>
      <c r="AM73" s="57">
        <v>0</v>
      </c>
      <c r="AN73" s="61">
        <f t="shared" si="59"/>
        <v>2345</v>
      </c>
      <c r="AO73" s="40">
        <f t="shared" si="73"/>
        <v>0</v>
      </c>
      <c r="AP73" s="40">
        <f t="shared" si="74"/>
        <v>0</v>
      </c>
      <c r="AQ73" s="44">
        <f t="shared" si="75"/>
        <v>1830568.129404238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</v>
      </c>
      <c r="G74" s="35">
        <f>SUMIFS(WORKING!$AC$3:$AC$6802,WORKING!$A$3:$A$6802,Results!$D$3,WORKING!$B$3:$B$6802,Results!A74,WORKING!$C$3:$C$6802,Results!C74)/1000</f>
        <v>1775.9114500000001</v>
      </c>
      <c r="H74" s="35">
        <f t="shared" si="60"/>
        <v>887.95572500000003</v>
      </c>
      <c r="I74" s="187">
        <v>2</v>
      </c>
      <c r="J74" s="212">
        <v>1255</v>
      </c>
      <c r="K74" s="217">
        <f t="shared" si="61"/>
        <v>627.5</v>
      </c>
      <c r="L74" s="34">
        <f t="shared" si="54"/>
        <v>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683.7035414970693</v>
      </c>
      <c r="N74" s="57">
        <v>0</v>
      </c>
      <c r="O74" s="57">
        <v>0</v>
      </c>
      <c r="P74" s="61">
        <f t="shared" si="55"/>
        <v>2</v>
      </c>
      <c r="Q74" s="40">
        <f t="shared" si="62"/>
        <v>0</v>
      </c>
      <c r="R74" s="40">
        <f t="shared" si="63"/>
        <v>0</v>
      </c>
      <c r="S74" s="44">
        <f t="shared" si="64"/>
        <v>1367.4070829941386</v>
      </c>
      <c r="T74" s="35">
        <f t="shared" si="65"/>
        <v>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740.78714131063725</v>
      </c>
      <c r="V74" s="57">
        <v>0</v>
      </c>
      <c r="W74" s="57">
        <v>0</v>
      </c>
      <c r="X74" s="61">
        <f t="shared" si="56"/>
        <v>2</v>
      </c>
      <c r="Y74" s="40">
        <f t="shared" si="66"/>
        <v>0</v>
      </c>
      <c r="Z74" s="40">
        <f t="shared" si="67"/>
        <v>0</v>
      </c>
      <c r="AA74" s="44">
        <f t="shared" si="68"/>
        <v>1481.5742826212745</v>
      </c>
      <c r="AB74" s="35">
        <f t="shared" si="69"/>
        <v>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801.88662251845119</v>
      </c>
      <c r="AD74" s="57">
        <v>0</v>
      </c>
      <c r="AE74" s="57">
        <v>0</v>
      </c>
      <c r="AF74" s="61">
        <f t="shared" si="57"/>
        <v>2</v>
      </c>
      <c r="AG74" s="40">
        <f t="shared" si="70"/>
        <v>0</v>
      </c>
      <c r="AH74" s="40">
        <f t="shared" si="71"/>
        <v>0</v>
      </c>
      <c r="AI74" s="44">
        <f t="shared" si="72"/>
        <v>1603.7732450369024</v>
      </c>
      <c r="AJ74" s="35">
        <f t="shared" si="58"/>
        <v>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866.40154057754535</v>
      </c>
      <c r="AL74" s="57">
        <v>0</v>
      </c>
      <c r="AM74" s="57">
        <v>0</v>
      </c>
      <c r="AN74" s="61">
        <f t="shared" si="59"/>
        <v>2</v>
      </c>
      <c r="AO74" s="40">
        <f t="shared" si="73"/>
        <v>0</v>
      </c>
      <c r="AP74" s="40">
        <f t="shared" si="74"/>
        <v>0</v>
      </c>
      <c r="AQ74" s="44">
        <f t="shared" si="75"/>
        <v>1732.8030811550907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755</v>
      </c>
      <c r="G75" s="35">
        <f>SUMIFS(WORKING!$AC$3:$AC$6802,WORKING!$A$3:$A$6802,Results!$D$3,WORKING!$B$3:$B$6802,Results!A75,WORKING!$C$3:$C$6802,Results!C75)/1000</f>
        <v>546150.52051999944</v>
      </c>
      <c r="H75" s="35">
        <f t="shared" si="60"/>
        <v>723.37817287417147</v>
      </c>
      <c r="I75" s="187">
        <v>760</v>
      </c>
      <c r="J75" s="212">
        <v>723593.62091503304</v>
      </c>
      <c r="K75" s="217">
        <f t="shared" si="61"/>
        <v>952.0968696250435</v>
      </c>
      <c r="L75" s="34">
        <f t="shared" si="54"/>
        <v>760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1037.7662097918333</v>
      </c>
      <c r="N75" s="57">
        <v>0</v>
      </c>
      <c r="O75" s="57">
        <v>0</v>
      </c>
      <c r="P75" s="61">
        <f t="shared" si="55"/>
        <v>760</v>
      </c>
      <c r="Q75" s="40">
        <f t="shared" si="62"/>
        <v>0</v>
      </c>
      <c r="R75" s="40">
        <f t="shared" si="63"/>
        <v>0</v>
      </c>
      <c r="S75" s="44">
        <f t="shared" si="64"/>
        <v>788702.31944179325</v>
      </c>
      <c r="T75" s="35">
        <f t="shared" si="65"/>
        <v>760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1124.8365522535523</v>
      </c>
      <c r="V75" s="57">
        <v>0</v>
      </c>
      <c r="W75" s="57">
        <v>0</v>
      </c>
      <c r="X75" s="61">
        <f t="shared" si="56"/>
        <v>760</v>
      </c>
      <c r="Y75" s="40">
        <f t="shared" si="66"/>
        <v>0</v>
      </c>
      <c r="Z75" s="40">
        <f t="shared" si="67"/>
        <v>0</v>
      </c>
      <c r="AA75" s="44">
        <f t="shared" si="68"/>
        <v>854875.77971269982</v>
      </c>
      <c r="AB75" s="35">
        <f t="shared" si="69"/>
        <v>760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1218.0727932064601</v>
      </c>
      <c r="AD75" s="57">
        <v>0</v>
      </c>
      <c r="AE75" s="57">
        <v>0</v>
      </c>
      <c r="AF75" s="61">
        <f t="shared" si="57"/>
        <v>760</v>
      </c>
      <c r="AG75" s="40">
        <f t="shared" si="70"/>
        <v>0</v>
      </c>
      <c r="AH75" s="40">
        <f t="shared" si="71"/>
        <v>0</v>
      </c>
      <c r="AI75" s="44">
        <f t="shared" si="72"/>
        <v>925735.32283690968</v>
      </c>
      <c r="AJ75" s="35">
        <f t="shared" si="58"/>
        <v>760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1316.5694685158453</v>
      </c>
      <c r="AL75" s="57">
        <v>0</v>
      </c>
      <c r="AM75" s="57">
        <v>0</v>
      </c>
      <c r="AN75" s="61">
        <f t="shared" si="59"/>
        <v>760</v>
      </c>
      <c r="AO75" s="40">
        <f t="shared" si="73"/>
        <v>0</v>
      </c>
      <c r="AP75" s="40">
        <f t="shared" si="74"/>
        <v>0</v>
      </c>
      <c r="AQ75" s="44">
        <f t="shared" si="75"/>
        <v>1000592.7960720424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217</v>
      </c>
      <c r="G76" s="35">
        <f>SUMIFS(WORKING!$AC$3:$AC$6802,WORKING!$A$3:$A$6802,Results!$D$3,WORKING!$B$3:$B$6802,Results!A76,WORKING!$C$3:$C$6802,Results!C76)/1000</f>
        <v>209184.58767000018</v>
      </c>
      <c r="H76" s="35">
        <f t="shared" si="60"/>
        <v>963.98427497695934</v>
      </c>
      <c r="I76" s="187">
        <v>215</v>
      </c>
      <c r="J76" s="212">
        <v>273405.44554455398</v>
      </c>
      <c r="K76" s="217">
        <f t="shared" si="61"/>
        <v>1271.6532350909488</v>
      </c>
      <c r="L76" s="34">
        <f t="shared" si="54"/>
        <v>215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1330.6570497235143</v>
      </c>
      <c r="N76" s="57">
        <v>0</v>
      </c>
      <c r="O76" s="57">
        <v>0</v>
      </c>
      <c r="P76" s="61">
        <f t="shared" si="55"/>
        <v>215</v>
      </c>
      <c r="Q76" s="40">
        <f t="shared" si="62"/>
        <v>0</v>
      </c>
      <c r="R76" s="40">
        <f t="shared" si="63"/>
        <v>0</v>
      </c>
      <c r="S76" s="44">
        <f t="shared" si="64"/>
        <v>286091.26569055556</v>
      </c>
      <c r="T76" s="35">
        <f t="shared" si="65"/>
        <v>215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1428.7923676611101</v>
      </c>
      <c r="V76" s="57">
        <v>0</v>
      </c>
      <c r="W76" s="57">
        <v>0</v>
      </c>
      <c r="X76" s="61">
        <f t="shared" si="56"/>
        <v>215</v>
      </c>
      <c r="Y76" s="40">
        <f t="shared" si="66"/>
        <v>0</v>
      </c>
      <c r="Z76" s="40">
        <f t="shared" si="67"/>
        <v>0</v>
      </c>
      <c r="AA76" s="44">
        <f t="shared" si="68"/>
        <v>307190.35904713866</v>
      </c>
      <c r="AB76" s="35">
        <f t="shared" si="69"/>
        <v>215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1532.7177925521503</v>
      </c>
      <c r="AD76" s="57">
        <v>0</v>
      </c>
      <c r="AE76" s="57">
        <v>0</v>
      </c>
      <c r="AF76" s="61">
        <f t="shared" si="57"/>
        <v>215</v>
      </c>
      <c r="AG76" s="40">
        <f t="shared" si="70"/>
        <v>0</v>
      </c>
      <c r="AH76" s="40">
        <f t="shared" si="71"/>
        <v>0</v>
      </c>
      <c r="AI76" s="44">
        <f t="shared" si="72"/>
        <v>329534.3253987123</v>
      </c>
      <c r="AJ76" s="35">
        <f t="shared" si="58"/>
        <v>215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1641.0971960176919</v>
      </c>
      <c r="AL76" s="57">
        <v>0</v>
      </c>
      <c r="AM76" s="57">
        <v>0</v>
      </c>
      <c r="AN76" s="61">
        <f t="shared" si="59"/>
        <v>215</v>
      </c>
      <c r="AO76" s="40">
        <f t="shared" si="73"/>
        <v>0</v>
      </c>
      <c r="AP76" s="40">
        <f t="shared" si="74"/>
        <v>0</v>
      </c>
      <c r="AQ76" s="44">
        <f t="shared" si="75"/>
        <v>352835.89714380377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38</v>
      </c>
      <c r="G77" s="35">
        <f>SUMIFS(WORKING!$AC$3:$AC$6802,WORKING!$A$3:$A$6802,Results!$D$3,WORKING!$B$3:$B$6802,Results!A77,WORKING!$C$3:$C$6802,Results!C77)/1000</f>
        <v>50749.475050000001</v>
      </c>
      <c r="H77" s="35">
        <f t="shared" si="60"/>
        <v>1335.5125013157895</v>
      </c>
      <c r="I77" s="187">
        <v>40</v>
      </c>
      <c r="J77" s="212">
        <v>60135</v>
      </c>
      <c r="K77" s="217">
        <f t="shared" si="61"/>
        <v>1503.375</v>
      </c>
      <c r="L77" s="34">
        <f t="shared" si="54"/>
        <v>40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1573.0388048941554</v>
      </c>
      <c r="N77" s="57">
        <v>0</v>
      </c>
      <c r="O77" s="57">
        <v>0</v>
      </c>
      <c r="P77" s="61">
        <f t="shared" si="55"/>
        <v>40</v>
      </c>
      <c r="Q77" s="40">
        <f t="shared" si="62"/>
        <v>0</v>
      </c>
      <c r="R77" s="40">
        <f t="shared" si="63"/>
        <v>0</v>
      </c>
      <c r="S77" s="44">
        <f t="shared" si="64"/>
        <v>62921.552195766213</v>
      </c>
      <c r="T77" s="35">
        <f t="shared" si="65"/>
        <v>40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1688.9511645618932</v>
      </c>
      <c r="V77" s="57">
        <v>0</v>
      </c>
      <c r="W77" s="57">
        <v>0</v>
      </c>
      <c r="X77" s="61">
        <f t="shared" si="56"/>
        <v>40</v>
      </c>
      <c r="Y77" s="40">
        <f t="shared" si="66"/>
        <v>0</v>
      </c>
      <c r="Z77" s="40">
        <f t="shared" si="67"/>
        <v>0</v>
      </c>
      <c r="AA77" s="44">
        <f t="shared" si="68"/>
        <v>67558.046582475727</v>
      </c>
      <c r="AB77" s="35">
        <f t="shared" si="69"/>
        <v>40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1811.6939879728354</v>
      </c>
      <c r="AD77" s="57">
        <v>0</v>
      </c>
      <c r="AE77" s="57">
        <v>0</v>
      </c>
      <c r="AF77" s="61">
        <f t="shared" si="57"/>
        <v>40</v>
      </c>
      <c r="AG77" s="40">
        <f t="shared" si="70"/>
        <v>0</v>
      </c>
      <c r="AH77" s="40">
        <f t="shared" si="71"/>
        <v>0</v>
      </c>
      <c r="AI77" s="44">
        <f t="shared" si="72"/>
        <v>72467.759518913415</v>
      </c>
      <c r="AJ77" s="35">
        <f t="shared" si="58"/>
        <v>40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1939.6868485585874</v>
      </c>
      <c r="AL77" s="57">
        <v>0</v>
      </c>
      <c r="AM77" s="57">
        <v>0</v>
      </c>
      <c r="AN77" s="61">
        <f t="shared" si="59"/>
        <v>40</v>
      </c>
      <c r="AO77" s="40">
        <f t="shared" si="73"/>
        <v>0</v>
      </c>
      <c r="AP77" s="40">
        <f t="shared" si="74"/>
        <v>0</v>
      </c>
      <c r="AQ77" s="44">
        <f t="shared" si="75"/>
        <v>77587.473942343495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12</v>
      </c>
      <c r="G78" s="35">
        <f>SUMIFS(WORKING!$AC$3:$AC$6802,WORKING!$A$3:$A$6802,Results!$D$3,WORKING!$B$3:$B$6802,Results!A78,WORKING!$C$3:$C$6802,Results!C78)/1000</f>
        <v>19429.710369999997</v>
      </c>
      <c r="H78" s="35">
        <f t="shared" si="60"/>
        <v>1619.142530833333</v>
      </c>
      <c r="I78" s="187">
        <v>13</v>
      </c>
      <c r="J78" s="212">
        <v>21031</v>
      </c>
      <c r="K78" s="217">
        <f t="shared" si="61"/>
        <v>1617.7692307692307</v>
      </c>
      <c r="L78" s="34">
        <f t="shared" si="54"/>
        <v>13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1692.7685873085991</v>
      </c>
      <c r="N78" s="57">
        <v>0</v>
      </c>
      <c r="O78" s="57">
        <v>0</v>
      </c>
      <c r="P78" s="61">
        <f t="shared" si="55"/>
        <v>13</v>
      </c>
      <c r="Q78" s="40">
        <f t="shared" si="62"/>
        <v>0</v>
      </c>
      <c r="R78" s="40">
        <f t="shared" si="63"/>
        <v>0</v>
      </c>
      <c r="S78" s="44">
        <f t="shared" si="64"/>
        <v>22005.991635011789</v>
      </c>
      <c r="T78" s="35">
        <f t="shared" si="65"/>
        <v>13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1817.5407434396357</v>
      </c>
      <c r="V78" s="57">
        <v>0</v>
      </c>
      <c r="W78" s="57">
        <v>0</v>
      </c>
      <c r="X78" s="61">
        <f t="shared" si="56"/>
        <v>13</v>
      </c>
      <c r="Y78" s="40">
        <f t="shared" si="66"/>
        <v>0</v>
      </c>
      <c r="Z78" s="40">
        <f t="shared" si="67"/>
        <v>0</v>
      </c>
      <c r="AA78" s="44">
        <f t="shared" si="68"/>
        <v>23628.029664715265</v>
      </c>
      <c r="AB78" s="35">
        <f t="shared" si="69"/>
        <v>13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1949.6686744043884</v>
      </c>
      <c r="AD78" s="57">
        <v>0</v>
      </c>
      <c r="AE78" s="57">
        <v>0</v>
      </c>
      <c r="AF78" s="61">
        <f t="shared" si="57"/>
        <v>13</v>
      </c>
      <c r="AG78" s="40">
        <f t="shared" si="70"/>
        <v>0</v>
      </c>
      <c r="AH78" s="40">
        <f t="shared" si="71"/>
        <v>0</v>
      </c>
      <c r="AI78" s="44">
        <f t="shared" si="72"/>
        <v>25345.692767257049</v>
      </c>
      <c r="AJ78" s="35">
        <f t="shared" si="58"/>
        <v>13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2087.4520093611309</v>
      </c>
      <c r="AL78" s="57">
        <v>0</v>
      </c>
      <c r="AM78" s="57">
        <v>0</v>
      </c>
      <c r="AN78" s="61">
        <f t="shared" si="59"/>
        <v>13</v>
      </c>
      <c r="AO78" s="40">
        <f t="shared" si="73"/>
        <v>0</v>
      </c>
      <c r="AP78" s="40">
        <f t="shared" si="74"/>
        <v>0</v>
      </c>
      <c r="AQ78" s="44">
        <f t="shared" si="75"/>
        <v>27136.876121694702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6300.7847399999991</v>
      </c>
      <c r="H79" s="35">
        <f t="shared" si="60"/>
        <v>2100.2615799999999</v>
      </c>
      <c r="I79" s="187">
        <v>1</v>
      </c>
      <c r="J79" s="212">
        <v>1743</v>
      </c>
      <c r="K79" s="217">
        <f t="shared" si="61"/>
        <v>1743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1823.6870898803343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1823.6870898803343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1957.9824916615571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1957.9824916615571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2100.1841626764012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2100.1841626764012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2248.4590455547573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2248.4590455547573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2320</v>
      </c>
      <c r="K80" s="217">
        <f t="shared" si="61"/>
        <v>2320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2396.56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2396.56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2540.3535999999999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2540.3535999999999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2690.2344623999998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2690.2344623999998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2843.5778267567994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2843.5778267567994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1915</v>
      </c>
      <c r="K81" s="217">
        <f t="shared" ref="K81:K83" si="77">IFERROR(IF(J81="",G81,J81)/IF(I81="",F81,I81),"")</f>
        <v>1915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1978.1949999999999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1978.1949999999999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2096.8867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2096.8867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2220.6030152999997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2220.6030152999997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2347.1773871720998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2347.1773871720998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36926</v>
      </c>
      <c r="G84" s="41">
        <f>SUM(G64:G83)</f>
        <v>9742829.0453700013</v>
      </c>
      <c r="H84" s="41">
        <f>IFERROR(G84/F84,0)</f>
        <v>263.84739872637169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37285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10279562.601446921</v>
      </c>
      <c r="K84" s="41">
        <f>IFERROR(J84/I84,"")</f>
        <v>275.70236291932201</v>
      </c>
      <c r="L84" s="41">
        <f>SUM(L64:L83)</f>
        <v>37285</v>
      </c>
      <c r="M84" s="41">
        <f>IFERROR(S84/P84,0)</f>
        <v>298.22100113047719</v>
      </c>
      <c r="N84" s="41">
        <f t="shared" ref="N84:T84" si="98">SUM(N64:N83)</f>
        <v>273</v>
      </c>
      <c r="O84" s="41">
        <f t="shared" si="98"/>
        <v>0</v>
      </c>
      <c r="P84" s="41">
        <f t="shared" si="98"/>
        <v>37558</v>
      </c>
      <c r="Q84" s="41">
        <f t="shared" si="98"/>
        <v>50462.81719038327</v>
      </c>
      <c r="R84" s="41">
        <f t="shared" si="98"/>
        <v>0</v>
      </c>
      <c r="S84" s="45">
        <f t="shared" si="98"/>
        <v>11200584.360458462</v>
      </c>
      <c r="T84" s="41">
        <f t="shared" si="98"/>
        <v>37558</v>
      </c>
      <c r="U84" s="41">
        <f>IFERROR(AA84/X84,0)</f>
        <v>322.85397563080409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37558</v>
      </c>
      <c r="Y84" s="41">
        <f t="shared" si="99"/>
        <v>0</v>
      </c>
      <c r="Z84" s="41">
        <f t="shared" si="99"/>
        <v>0</v>
      </c>
      <c r="AA84" s="45">
        <f t="shared" si="99"/>
        <v>12125749.616741739</v>
      </c>
      <c r="AB84" s="41">
        <f t="shared" si="99"/>
        <v>37558</v>
      </c>
      <c r="AC84" s="41">
        <f>IFERROR(AI84/AF84,0)</f>
        <v>349.19585017369025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37558</v>
      </c>
      <c r="AG84" s="41">
        <f t="shared" si="100"/>
        <v>0</v>
      </c>
      <c r="AH84" s="41">
        <f t="shared" si="100"/>
        <v>0</v>
      </c>
      <c r="AI84" s="45">
        <f t="shared" si="100"/>
        <v>13115097.740823459</v>
      </c>
      <c r="AJ84" s="41">
        <f t="shared" si="100"/>
        <v>37558</v>
      </c>
      <c r="AK84" s="41">
        <f>IFERROR(AQ84/AN84,0)</f>
        <v>376.98120789796491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37558</v>
      </c>
      <c r="AO84" s="41">
        <f t="shared" si="101"/>
        <v>0</v>
      </c>
      <c r="AP84" s="41">
        <f t="shared" si="101"/>
        <v>0</v>
      </c>
      <c r="AQ84" s="45">
        <f t="shared" si="101"/>
        <v>14158660.206231765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11205496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12004745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12800794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13773654.344000001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4911.6395415384322</v>
      </c>
      <c r="T86" s="39"/>
      <c r="U86" s="39"/>
      <c r="V86" s="53"/>
      <c r="W86" s="53"/>
      <c r="X86" s="110"/>
      <c r="Y86" s="39"/>
      <c r="Z86" s="39"/>
      <c r="AA86" s="54">
        <f>AA85-AA84</f>
        <v>-121004.61674173921</v>
      </c>
      <c r="AB86" s="39"/>
      <c r="AC86" s="53"/>
      <c r="AD86" s="53"/>
      <c r="AE86" s="110"/>
      <c r="AF86" s="39"/>
      <c r="AG86" s="39"/>
      <c r="AH86" s="39"/>
      <c r="AI86" s="54">
        <f>AI85-AI84</f>
        <v>-314303.74082345888</v>
      </c>
      <c r="AJ86" s="53"/>
      <c r="AK86" s="53"/>
      <c r="AL86" s="110"/>
      <c r="AM86" s="110"/>
      <c r="AN86" s="110"/>
      <c r="AO86" s="110"/>
      <c r="AP86" s="111"/>
      <c r="AQ86" s="54">
        <f>AQ85-AQ84</f>
        <v>-385005.86223176494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Visible Policing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4096</v>
      </c>
      <c r="G92" s="35">
        <f>SUMIFS(WORKING!$AC$3:$AC$6802,WORKING!$A$3:$A$6802,Results!$D$3,WORKING!$B$3:$B$6802,Results!A92,WORKING!$C$3:$C$6802,Results!C92)/1000</f>
        <v>159952.03754000002</v>
      </c>
      <c r="H92" s="35">
        <f>IFERROR(G92/F92,0)</f>
        <v>39.050790415039067</v>
      </c>
      <c r="I92" s="156">
        <v>6616</v>
      </c>
      <c r="J92" s="211">
        <v>861545.33987871779</v>
      </c>
      <c r="K92" s="217">
        <f>IFERROR(IF(J92="",G92,J92)/IF(I92="",F92,I92),"")</f>
        <v>130.22148426220039</v>
      </c>
      <c r="L92" s="34">
        <f t="shared" ref="L92:L111" si="102">IF(I92="",F92,I92)</f>
        <v>6616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141.67674339039024</v>
      </c>
      <c r="N92" s="57">
        <v>0</v>
      </c>
      <c r="O92" s="57">
        <v>0</v>
      </c>
      <c r="P92" s="61">
        <f t="shared" ref="P92:P111" si="103">-O92+L92+N92</f>
        <v>6616</v>
      </c>
      <c r="Q92" s="40">
        <f>M92*N92</f>
        <v>0</v>
      </c>
      <c r="R92" s="40">
        <f>-M92*O92</f>
        <v>0</v>
      </c>
      <c r="S92" s="44">
        <f>M92*P92</f>
        <v>937333.33427082188</v>
      </c>
      <c r="T92" s="35">
        <f>P92</f>
        <v>6616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153.49314294857064</v>
      </c>
      <c r="V92" s="57">
        <v>0</v>
      </c>
      <c r="W92" s="57">
        <v>1</v>
      </c>
      <c r="X92" s="61">
        <f t="shared" ref="X92:X111" si="104">-W92+T92+V92</f>
        <v>6615</v>
      </c>
      <c r="Y92" s="40">
        <f>U92*V92</f>
        <v>0</v>
      </c>
      <c r="Z92" s="40">
        <f>-U92*W92</f>
        <v>-153.49314294857064</v>
      </c>
      <c r="AA92" s="44">
        <f>U92*X92</f>
        <v>1015357.1406047947</v>
      </c>
      <c r="AB92" s="35">
        <f>X92</f>
        <v>6615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166.13968019874633</v>
      </c>
      <c r="AD92" s="57">
        <v>0</v>
      </c>
      <c r="AE92" s="57">
        <v>0</v>
      </c>
      <c r="AF92" s="61">
        <f t="shared" ref="AF92:AF111" si="105">-AE92+AB92+AD92</f>
        <v>6615</v>
      </c>
      <c r="AG92" s="40">
        <f>AC92*AD92</f>
        <v>0</v>
      </c>
      <c r="AH92" s="40">
        <f>-AC92*AE92</f>
        <v>0</v>
      </c>
      <c r="AI92" s="44">
        <f>AC92*AF92</f>
        <v>1099013.984514707</v>
      </c>
      <c r="AJ92" s="35">
        <f t="shared" ref="AJ92:AJ111" si="106">AF92</f>
        <v>6615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179.49178511881746</v>
      </c>
      <c r="AL92" s="57">
        <v>0</v>
      </c>
      <c r="AM92" s="57">
        <v>0</v>
      </c>
      <c r="AN92" s="61">
        <f t="shared" ref="AN92:AN111" si="107">-AM92+AJ92+AL92</f>
        <v>6615</v>
      </c>
      <c r="AO92" s="40">
        <f>AK92*AL92</f>
        <v>0</v>
      </c>
      <c r="AP92" s="40">
        <f>-AK92*AM92</f>
        <v>0</v>
      </c>
      <c r="AQ92" s="44">
        <f>AK92*AN92</f>
        <v>1187338.1585609776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470</v>
      </c>
      <c r="G93" s="35">
        <f>SUMIFS(WORKING!$AC$3:$AC$6802,WORKING!$A$3:$A$6802,Results!$D$3,WORKING!$B$3:$B$6802,Results!A93,WORKING!$C$3:$C$6802,Results!C93)/1000</f>
        <v>20941.65841</v>
      </c>
      <c r="H93" s="35">
        <f t="shared" ref="H93:H111" si="108">IFERROR(G93/F93,0)</f>
        <v>44.556720021276597</v>
      </c>
      <c r="I93" s="187">
        <v>478</v>
      </c>
      <c r="J93" s="212">
        <v>66508.257425742573</v>
      </c>
      <c r="K93" s="217">
        <f t="shared" ref="K93:K111" si="109">IFERROR(IF(J93="",G93,J93)/IF(I93="",F93,I93),"")</f>
        <v>139.13861386138615</v>
      </c>
      <c r="L93" s="34">
        <f t="shared" si="102"/>
        <v>478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150.06106793084507</v>
      </c>
      <c r="N93" s="57">
        <v>0</v>
      </c>
      <c r="O93" s="57">
        <v>0</v>
      </c>
      <c r="P93" s="61">
        <f t="shared" si="103"/>
        <v>478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71729.19047094394</v>
      </c>
      <c r="T93" s="35">
        <f t="shared" ref="T93:T111" si="113">P93</f>
        <v>478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162.21220460742973</v>
      </c>
      <c r="V93" s="57">
        <v>0</v>
      </c>
      <c r="W93" s="57">
        <v>0</v>
      </c>
      <c r="X93" s="61">
        <f t="shared" si="104"/>
        <v>478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77537.433802351414</v>
      </c>
      <c r="AB93" s="35">
        <f t="shared" ref="AB93:AB111" si="117">X93</f>
        <v>478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175.18340973841799</v>
      </c>
      <c r="AD93" s="57">
        <v>0</v>
      </c>
      <c r="AE93" s="57">
        <v>0</v>
      </c>
      <c r="AF93" s="61">
        <f t="shared" si="105"/>
        <v>478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83737.669854963795</v>
      </c>
      <c r="AJ93" s="35">
        <f t="shared" si="106"/>
        <v>478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188.83791279307192</v>
      </c>
      <c r="AL93" s="57">
        <v>0</v>
      </c>
      <c r="AM93" s="57">
        <v>0</v>
      </c>
      <c r="AN93" s="61">
        <f t="shared" si="107"/>
        <v>478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90264.522315088383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1838</v>
      </c>
      <c r="G94" s="35">
        <f>SUMIFS(WORKING!$AC$3:$AC$6802,WORKING!$A$3:$A$6802,Results!$D$3,WORKING!$B$3:$B$6802,Results!A94,WORKING!$C$3:$C$6802,Results!C94)/1000</f>
        <v>239193.82645000002</v>
      </c>
      <c r="H94" s="35">
        <f t="shared" si="108"/>
        <v>130.13809926550599</v>
      </c>
      <c r="I94" s="187">
        <v>1897</v>
      </c>
      <c r="J94" s="212">
        <v>275612.36191261339</v>
      </c>
      <c r="K94" s="217">
        <f t="shared" si="109"/>
        <v>145.28854080791427</v>
      </c>
      <c r="L94" s="34">
        <f t="shared" si="102"/>
        <v>1897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157.35036090519108</v>
      </c>
      <c r="N94" s="57">
        <v>0</v>
      </c>
      <c r="O94" s="57">
        <v>0</v>
      </c>
      <c r="P94" s="61">
        <f t="shared" si="103"/>
        <v>1897</v>
      </c>
      <c r="Q94" s="40">
        <f t="shared" si="110"/>
        <v>0</v>
      </c>
      <c r="R94" s="40">
        <f t="shared" si="111"/>
        <v>0</v>
      </c>
      <c r="S94" s="44">
        <f t="shared" si="112"/>
        <v>298493.63463714748</v>
      </c>
      <c r="T94" s="35">
        <f t="shared" si="113"/>
        <v>1897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170.2714144333487</v>
      </c>
      <c r="V94" s="57">
        <v>0</v>
      </c>
      <c r="W94" s="57">
        <v>0</v>
      </c>
      <c r="X94" s="61">
        <f t="shared" si="104"/>
        <v>1897</v>
      </c>
      <c r="Y94" s="40">
        <f t="shared" si="114"/>
        <v>0</v>
      </c>
      <c r="Z94" s="40">
        <f t="shared" si="115"/>
        <v>0</v>
      </c>
      <c r="AA94" s="44">
        <f t="shared" si="116"/>
        <v>323004.87318006245</v>
      </c>
      <c r="AB94" s="35">
        <f t="shared" si="117"/>
        <v>1897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184.08127960481582</v>
      </c>
      <c r="AD94" s="57">
        <v>0</v>
      </c>
      <c r="AE94" s="57">
        <v>0</v>
      </c>
      <c r="AF94" s="61">
        <f t="shared" si="105"/>
        <v>1897</v>
      </c>
      <c r="AG94" s="40">
        <f t="shared" si="118"/>
        <v>0</v>
      </c>
      <c r="AH94" s="40">
        <f t="shared" si="119"/>
        <v>0</v>
      </c>
      <c r="AI94" s="44">
        <f t="shared" si="120"/>
        <v>349202.18741033558</v>
      </c>
      <c r="AJ94" s="35">
        <f t="shared" si="106"/>
        <v>1897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198.63881945670963</v>
      </c>
      <c r="AL94" s="57">
        <v>0</v>
      </c>
      <c r="AM94" s="57">
        <v>0</v>
      </c>
      <c r="AN94" s="61">
        <f t="shared" si="107"/>
        <v>1897</v>
      </c>
      <c r="AO94" s="40">
        <f t="shared" si="121"/>
        <v>0</v>
      </c>
      <c r="AP94" s="40">
        <f t="shared" si="122"/>
        <v>0</v>
      </c>
      <c r="AQ94" s="44">
        <f t="shared" si="123"/>
        <v>376817.84050937818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57</v>
      </c>
      <c r="G95" s="35">
        <f>SUMIFS(WORKING!$AC$3:$AC$6802,WORKING!$A$3:$A$6802,Results!$D$3,WORKING!$B$3:$B$6802,Results!A95,WORKING!$C$3:$C$6802,Results!C95)/1000</f>
        <v>8281.833990000001</v>
      </c>
      <c r="H95" s="35">
        <f t="shared" si="108"/>
        <v>145.29533315789476</v>
      </c>
      <c r="I95" s="187">
        <v>63</v>
      </c>
      <c r="J95" s="212">
        <v>12474.411764705883</v>
      </c>
      <c r="K95" s="217">
        <f t="shared" si="109"/>
        <v>198.00653594771242</v>
      </c>
      <c r="L95" s="34">
        <f t="shared" si="102"/>
        <v>63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214.57434816224549</v>
      </c>
      <c r="N95" s="57">
        <v>0</v>
      </c>
      <c r="O95" s="57">
        <v>0</v>
      </c>
      <c r="P95" s="61">
        <f t="shared" si="103"/>
        <v>63</v>
      </c>
      <c r="Q95" s="40">
        <f t="shared" si="110"/>
        <v>0</v>
      </c>
      <c r="R95" s="40">
        <f t="shared" si="111"/>
        <v>0</v>
      </c>
      <c r="S95" s="44">
        <f t="shared" si="112"/>
        <v>13518.183934221466</v>
      </c>
      <c r="T95" s="35">
        <f t="shared" si="113"/>
        <v>63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232.23749520474897</v>
      </c>
      <c r="V95" s="57">
        <v>0</v>
      </c>
      <c r="W95" s="57">
        <v>0</v>
      </c>
      <c r="X95" s="61">
        <f t="shared" si="104"/>
        <v>63</v>
      </c>
      <c r="Y95" s="40">
        <f t="shared" si="114"/>
        <v>0</v>
      </c>
      <c r="Z95" s="40">
        <f t="shared" si="115"/>
        <v>0</v>
      </c>
      <c r="AA95" s="44">
        <f t="shared" si="116"/>
        <v>14630.962197899185</v>
      </c>
      <c r="AB95" s="35">
        <f t="shared" si="117"/>
        <v>63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251.11977480083667</v>
      </c>
      <c r="AD95" s="57">
        <v>0</v>
      </c>
      <c r="AE95" s="57">
        <v>0</v>
      </c>
      <c r="AF95" s="61">
        <f t="shared" si="105"/>
        <v>63</v>
      </c>
      <c r="AG95" s="40">
        <f t="shared" si="118"/>
        <v>0</v>
      </c>
      <c r="AH95" s="40">
        <f t="shared" si="119"/>
        <v>0</v>
      </c>
      <c r="AI95" s="44">
        <f t="shared" si="120"/>
        <v>15820.54581245271</v>
      </c>
      <c r="AJ95" s="35">
        <f t="shared" si="106"/>
        <v>63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271.02941183342995</v>
      </c>
      <c r="AL95" s="57">
        <v>0</v>
      </c>
      <c r="AM95" s="57">
        <v>0</v>
      </c>
      <c r="AN95" s="61">
        <f t="shared" si="107"/>
        <v>63</v>
      </c>
      <c r="AO95" s="40">
        <f t="shared" si="121"/>
        <v>0</v>
      </c>
      <c r="AP95" s="40">
        <f t="shared" si="122"/>
        <v>0</v>
      </c>
      <c r="AQ95" s="44">
        <f t="shared" si="123"/>
        <v>17074.852945506085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52351</v>
      </c>
      <c r="G96" s="35">
        <f>SUMIFS(WORKING!$AC$3:$AC$6802,WORKING!$A$3:$A$6802,Results!$D$3,WORKING!$B$3:$B$6802,Results!A96,WORKING!$C$3:$C$6802,Results!C96)/1000</f>
        <v>11460154.191099999</v>
      </c>
      <c r="H96" s="35">
        <f t="shared" si="108"/>
        <v>218.90993851311339</v>
      </c>
      <c r="I96" s="187">
        <v>53136</v>
      </c>
      <c r="J96" s="212">
        <v>13476034</v>
      </c>
      <c r="K96" s="217">
        <f t="shared" si="109"/>
        <v>253.6140093345378</v>
      </c>
      <c r="L96" s="34">
        <f t="shared" si="102"/>
        <v>53136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275.13570116366623</v>
      </c>
      <c r="N96" s="57">
        <v>0</v>
      </c>
      <c r="O96" s="57">
        <v>0</v>
      </c>
      <c r="P96" s="61">
        <f t="shared" si="103"/>
        <v>53136</v>
      </c>
      <c r="Q96" s="40">
        <f t="shared" si="110"/>
        <v>0</v>
      </c>
      <c r="R96" s="40">
        <f t="shared" si="111"/>
        <v>0</v>
      </c>
      <c r="S96" s="44">
        <f t="shared" si="112"/>
        <v>14619610.617032569</v>
      </c>
      <c r="T96" s="35">
        <f t="shared" si="113"/>
        <v>53136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297.8517923138694</v>
      </c>
      <c r="V96" s="57">
        <v>0</v>
      </c>
      <c r="W96" s="57">
        <v>0</v>
      </c>
      <c r="X96" s="61">
        <f t="shared" si="104"/>
        <v>53136</v>
      </c>
      <c r="Y96" s="40">
        <f t="shared" si="114"/>
        <v>0</v>
      </c>
      <c r="Z96" s="40">
        <f t="shared" si="115"/>
        <v>0</v>
      </c>
      <c r="AA96" s="44">
        <f t="shared" si="116"/>
        <v>15826652.836389765</v>
      </c>
      <c r="AB96" s="35">
        <f t="shared" si="117"/>
        <v>53136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322.14192787747112</v>
      </c>
      <c r="AD96" s="57">
        <v>0</v>
      </c>
      <c r="AE96" s="57">
        <v>0</v>
      </c>
      <c r="AF96" s="61">
        <f t="shared" si="105"/>
        <v>53136</v>
      </c>
      <c r="AG96" s="40">
        <f t="shared" si="118"/>
        <v>0</v>
      </c>
      <c r="AH96" s="40">
        <f t="shared" si="119"/>
        <v>0</v>
      </c>
      <c r="AI96" s="44">
        <f t="shared" si="120"/>
        <v>17117333.479697306</v>
      </c>
      <c r="AJ96" s="35">
        <f t="shared" si="106"/>
        <v>53136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347.76084122291667</v>
      </c>
      <c r="AL96" s="57">
        <v>0</v>
      </c>
      <c r="AM96" s="57">
        <v>0</v>
      </c>
      <c r="AN96" s="61">
        <f t="shared" si="107"/>
        <v>53136</v>
      </c>
      <c r="AO96" s="40">
        <f t="shared" si="121"/>
        <v>0</v>
      </c>
      <c r="AP96" s="40">
        <f t="shared" si="122"/>
        <v>0</v>
      </c>
      <c r="AQ96" s="44">
        <f t="shared" si="123"/>
        <v>18478620.059220899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11805</v>
      </c>
      <c r="G97" s="35">
        <f>SUMIFS(WORKING!$AC$3:$AC$6802,WORKING!$A$3:$A$6802,Results!$D$3,WORKING!$B$3:$B$6802,Results!A97,WORKING!$C$3:$C$6802,Results!C97)/1000</f>
        <v>3214476.9957700004</v>
      </c>
      <c r="H97" s="35">
        <f t="shared" si="108"/>
        <v>272.29792424989415</v>
      </c>
      <c r="I97" s="187">
        <v>11981</v>
      </c>
      <c r="J97" s="212">
        <v>3398207.3027522936</v>
      </c>
      <c r="K97" s="217">
        <f t="shared" si="109"/>
        <v>283.63302752293578</v>
      </c>
      <c r="L97" s="34">
        <f t="shared" si="102"/>
        <v>11981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308.09065587930763</v>
      </c>
      <c r="N97" s="57">
        <v>836</v>
      </c>
      <c r="O97" s="57">
        <v>0</v>
      </c>
      <c r="P97" s="61">
        <f t="shared" si="103"/>
        <v>12817</v>
      </c>
      <c r="Q97" s="40">
        <f t="shared" si="110"/>
        <v>257563.78831510118</v>
      </c>
      <c r="R97" s="40">
        <f t="shared" si="111"/>
        <v>0</v>
      </c>
      <c r="S97" s="44">
        <f t="shared" si="112"/>
        <v>3948797.936405086</v>
      </c>
      <c r="T97" s="35">
        <f t="shared" si="113"/>
        <v>12817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333.63681747556717</v>
      </c>
      <c r="V97" s="57">
        <v>0</v>
      </c>
      <c r="W97" s="57">
        <v>0</v>
      </c>
      <c r="X97" s="61">
        <f t="shared" si="104"/>
        <v>12817</v>
      </c>
      <c r="Y97" s="40">
        <f t="shared" si="114"/>
        <v>0</v>
      </c>
      <c r="Z97" s="40">
        <f t="shared" si="115"/>
        <v>0</v>
      </c>
      <c r="AA97" s="44">
        <f t="shared" si="116"/>
        <v>4276223.0895843441</v>
      </c>
      <c r="AB97" s="35">
        <f t="shared" si="117"/>
        <v>12817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360.96342352263241</v>
      </c>
      <c r="AD97" s="57">
        <v>0</v>
      </c>
      <c r="AE97" s="57">
        <v>0</v>
      </c>
      <c r="AF97" s="61">
        <f t="shared" si="105"/>
        <v>12817</v>
      </c>
      <c r="AG97" s="40">
        <f t="shared" si="118"/>
        <v>0</v>
      </c>
      <c r="AH97" s="40">
        <f t="shared" si="119"/>
        <v>0</v>
      </c>
      <c r="AI97" s="44">
        <f t="shared" si="120"/>
        <v>4626468.1992895799</v>
      </c>
      <c r="AJ97" s="35">
        <f t="shared" si="106"/>
        <v>12817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389.79732157534778</v>
      </c>
      <c r="AL97" s="57">
        <v>0</v>
      </c>
      <c r="AM97" s="57">
        <v>0</v>
      </c>
      <c r="AN97" s="61">
        <f t="shared" si="107"/>
        <v>12817</v>
      </c>
      <c r="AO97" s="40">
        <f t="shared" si="121"/>
        <v>0</v>
      </c>
      <c r="AP97" s="40">
        <f t="shared" si="122"/>
        <v>0</v>
      </c>
      <c r="AQ97" s="44">
        <f t="shared" si="123"/>
        <v>4996032.2706312323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19484</v>
      </c>
      <c r="G98" s="35">
        <f>SUMIFS(WORKING!$AC$3:$AC$6802,WORKING!$A$3:$A$6802,Results!$D$3,WORKING!$B$3:$B$6802,Results!A98,WORKING!$C$3:$C$6802,Results!C98)/1000</f>
        <v>6792072.2551499987</v>
      </c>
      <c r="H98" s="35">
        <f t="shared" si="108"/>
        <v>348.59742635752406</v>
      </c>
      <c r="I98" s="187">
        <v>19776</v>
      </c>
      <c r="J98" s="212">
        <v>6914394.951923077</v>
      </c>
      <c r="K98" s="217">
        <f t="shared" si="109"/>
        <v>349.63566706730768</v>
      </c>
      <c r="L98" s="34">
        <f t="shared" si="102"/>
        <v>19776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380.11511697861391</v>
      </c>
      <c r="N98" s="57">
        <v>0</v>
      </c>
      <c r="O98" s="57">
        <v>3900</v>
      </c>
      <c r="P98" s="61">
        <f t="shared" si="103"/>
        <v>15876</v>
      </c>
      <c r="Q98" s="40">
        <f t="shared" si="110"/>
        <v>0</v>
      </c>
      <c r="R98" s="40">
        <f t="shared" si="111"/>
        <v>-1482448.9562165942</v>
      </c>
      <c r="S98" s="44">
        <f t="shared" si="112"/>
        <v>6034707.5971524743</v>
      </c>
      <c r="T98" s="35">
        <f t="shared" si="113"/>
        <v>15876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411.7277152741662</v>
      </c>
      <c r="V98" s="57">
        <v>0</v>
      </c>
      <c r="W98" s="57">
        <v>2500</v>
      </c>
      <c r="X98" s="61">
        <f t="shared" si="104"/>
        <v>13376</v>
      </c>
      <c r="Y98" s="40">
        <f t="shared" si="114"/>
        <v>0</v>
      </c>
      <c r="Z98" s="40">
        <f t="shared" si="115"/>
        <v>-1029319.2881854156</v>
      </c>
      <c r="AA98" s="44">
        <f t="shared" si="116"/>
        <v>5507269.9195072474</v>
      </c>
      <c r="AB98" s="35">
        <f t="shared" si="117"/>
        <v>13376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445.55249155222685</v>
      </c>
      <c r="AD98" s="57">
        <v>0</v>
      </c>
      <c r="AE98" s="57">
        <v>2094</v>
      </c>
      <c r="AF98" s="61">
        <f t="shared" si="105"/>
        <v>11282</v>
      </c>
      <c r="AG98" s="40">
        <f t="shared" si="118"/>
        <v>0</v>
      </c>
      <c r="AH98" s="40">
        <f t="shared" si="119"/>
        <v>-932986.91731036303</v>
      </c>
      <c r="AI98" s="44">
        <f t="shared" si="120"/>
        <v>5026723.209692223</v>
      </c>
      <c r="AJ98" s="35">
        <f t="shared" si="106"/>
        <v>11282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481.25376099559759</v>
      </c>
      <c r="AL98" s="57">
        <v>0</v>
      </c>
      <c r="AM98" s="57">
        <v>361</v>
      </c>
      <c r="AN98" s="61">
        <f t="shared" si="107"/>
        <v>10921</v>
      </c>
      <c r="AO98" s="40">
        <f t="shared" si="121"/>
        <v>0</v>
      </c>
      <c r="AP98" s="40">
        <f t="shared" si="122"/>
        <v>-173732.60771941073</v>
      </c>
      <c r="AQ98" s="44">
        <f t="shared" si="123"/>
        <v>5255772.3238329217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5866</v>
      </c>
      <c r="G99" s="35">
        <f>SUMIFS(WORKING!$AC$3:$AC$6802,WORKING!$A$3:$A$6802,Results!$D$3,WORKING!$B$3:$B$6802,Results!A99,WORKING!$C$3:$C$6802,Results!C99)/1000</f>
        <v>2405553.76143</v>
      </c>
      <c r="H99" s="35">
        <f t="shared" si="108"/>
        <v>410.08417344527788</v>
      </c>
      <c r="I99" s="187">
        <v>5917</v>
      </c>
      <c r="J99" s="212">
        <v>2889013.3581628148</v>
      </c>
      <c r="K99" s="217">
        <f t="shared" si="109"/>
        <v>488.25644045340795</v>
      </c>
      <c r="L99" s="34">
        <f t="shared" si="102"/>
        <v>5917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531.09289944519583</v>
      </c>
      <c r="N99" s="57">
        <v>876</v>
      </c>
      <c r="O99" s="57">
        <v>0</v>
      </c>
      <c r="P99" s="61">
        <f t="shared" si="103"/>
        <v>6793</v>
      </c>
      <c r="Q99" s="40">
        <f t="shared" si="110"/>
        <v>465237.37991399155</v>
      </c>
      <c r="R99" s="40">
        <f t="shared" si="111"/>
        <v>0</v>
      </c>
      <c r="S99" s="44">
        <f t="shared" si="112"/>
        <v>3607714.0659312154</v>
      </c>
      <c r="T99" s="35">
        <f t="shared" si="113"/>
        <v>6793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575.33984359045712</v>
      </c>
      <c r="V99" s="57">
        <v>0</v>
      </c>
      <c r="W99" s="57">
        <v>0</v>
      </c>
      <c r="X99" s="61">
        <f t="shared" si="104"/>
        <v>6793</v>
      </c>
      <c r="Y99" s="40">
        <f t="shared" si="114"/>
        <v>0</v>
      </c>
      <c r="Z99" s="40">
        <f t="shared" si="115"/>
        <v>0</v>
      </c>
      <c r="AA99" s="44">
        <f t="shared" si="116"/>
        <v>3908283.557509975</v>
      </c>
      <c r="AB99" s="35">
        <f t="shared" si="117"/>
        <v>6793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622.69050050566557</v>
      </c>
      <c r="AD99" s="57">
        <v>0</v>
      </c>
      <c r="AE99" s="57">
        <v>0</v>
      </c>
      <c r="AF99" s="61">
        <f t="shared" si="105"/>
        <v>6793</v>
      </c>
      <c r="AG99" s="40">
        <f t="shared" si="118"/>
        <v>0</v>
      </c>
      <c r="AH99" s="40">
        <f t="shared" si="119"/>
        <v>0</v>
      </c>
      <c r="AI99" s="44">
        <f t="shared" si="120"/>
        <v>4229936.5699349865</v>
      </c>
      <c r="AJ99" s="35">
        <f t="shared" si="106"/>
        <v>6793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672.67696415613136</v>
      </c>
      <c r="AL99" s="57">
        <v>0</v>
      </c>
      <c r="AM99" s="57">
        <v>0</v>
      </c>
      <c r="AN99" s="61">
        <f t="shared" si="107"/>
        <v>6793</v>
      </c>
      <c r="AO99" s="40">
        <f t="shared" si="121"/>
        <v>0</v>
      </c>
      <c r="AP99" s="40">
        <f t="shared" si="122"/>
        <v>0</v>
      </c>
      <c r="AQ99" s="44">
        <f t="shared" si="123"/>
        <v>4569494.6175126005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29.49466</v>
      </c>
      <c r="H100" s="35">
        <f t="shared" si="108"/>
        <v>0</v>
      </c>
      <c r="I100" s="187" t="s">
        <v>754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1940</v>
      </c>
      <c r="G101" s="35">
        <f>SUMIFS(WORKING!$AC$3:$AC$6802,WORKING!$A$3:$A$6802,Results!$D$3,WORKING!$B$3:$B$6802,Results!A101,WORKING!$C$3:$C$6802,Results!C101)/1000</f>
        <v>930310.78096</v>
      </c>
      <c r="H101" s="35">
        <f t="shared" si="108"/>
        <v>479.54163967010311</v>
      </c>
      <c r="I101" s="187">
        <v>1949</v>
      </c>
      <c r="J101" s="212">
        <v>1258577.9818880351</v>
      </c>
      <c r="K101" s="217">
        <f t="shared" si="109"/>
        <v>645.75576289791434</v>
      </c>
      <c r="L101" s="34">
        <f t="shared" si="102"/>
        <v>1949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702.73623528309031</v>
      </c>
      <c r="N101" s="57">
        <v>0</v>
      </c>
      <c r="O101" s="57">
        <v>0</v>
      </c>
      <c r="P101" s="61">
        <f t="shared" si="103"/>
        <v>1949</v>
      </c>
      <c r="Q101" s="40">
        <f t="shared" si="110"/>
        <v>0</v>
      </c>
      <c r="R101" s="40">
        <f t="shared" si="111"/>
        <v>0</v>
      </c>
      <c r="S101" s="44">
        <f t="shared" si="112"/>
        <v>1369632.9225667431</v>
      </c>
      <c r="T101" s="35">
        <f t="shared" si="113"/>
        <v>1949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761.37725075072024</v>
      </c>
      <c r="V101" s="57">
        <v>0</v>
      </c>
      <c r="W101" s="57">
        <v>0</v>
      </c>
      <c r="X101" s="61">
        <f t="shared" si="104"/>
        <v>1949</v>
      </c>
      <c r="Y101" s="40">
        <f t="shared" si="114"/>
        <v>0</v>
      </c>
      <c r="Z101" s="40">
        <f t="shared" si="115"/>
        <v>0</v>
      </c>
      <c r="AA101" s="44">
        <f t="shared" si="116"/>
        <v>1483924.2617131537</v>
      </c>
      <c r="AB101" s="35">
        <f t="shared" si="117"/>
        <v>1949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824.14058108619645</v>
      </c>
      <c r="AD101" s="57">
        <v>0</v>
      </c>
      <c r="AE101" s="57">
        <v>0</v>
      </c>
      <c r="AF101" s="61">
        <f t="shared" si="105"/>
        <v>1949</v>
      </c>
      <c r="AG101" s="40">
        <f t="shared" si="118"/>
        <v>0</v>
      </c>
      <c r="AH101" s="40">
        <f t="shared" si="119"/>
        <v>0</v>
      </c>
      <c r="AI101" s="44">
        <f t="shared" si="120"/>
        <v>1606249.992536997</v>
      </c>
      <c r="AJ101" s="35">
        <f t="shared" si="106"/>
        <v>1949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890.40844535367546</v>
      </c>
      <c r="AL101" s="57">
        <v>0</v>
      </c>
      <c r="AM101" s="57">
        <v>0</v>
      </c>
      <c r="AN101" s="61">
        <f t="shared" si="107"/>
        <v>1949</v>
      </c>
      <c r="AO101" s="40">
        <f t="shared" si="121"/>
        <v>0</v>
      </c>
      <c r="AP101" s="40">
        <f t="shared" si="122"/>
        <v>0</v>
      </c>
      <c r="AQ101" s="44">
        <f t="shared" si="123"/>
        <v>1735406.0599943134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45</v>
      </c>
      <c r="H102" s="35">
        <f t="shared" si="108"/>
        <v>45</v>
      </c>
      <c r="I102" s="187" t="s">
        <v>754</v>
      </c>
      <c r="J102" s="212">
        <v>0</v>
      </c>
      <c r="K102" s="217">
        <f t="shared" si="109"/>
        <v>0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595</v>
      </c>
      <c r="G103" s="35">
        <f>SUMIFS(WORKING!$AC$3:$AC$6802,WORKING!$A$3:$A$6802,Results!$D$3,WORKING!$B$3:$B$6802,Results!A103,WORKING!$C$3:$C$6802,Results!C103)/1000</f>
        <v>437367.79084999952</v>
      </c>
      <c r="H103" s="35">
        <f t="shared" si="108"/>
        <v>735.07191739495715</v>
      </c>
      <c r="I103" s="187">
        <v>597</v>
      </c>
      <c r="J103" s="212">
        <v>531701.487460815</v>
      </c>
      <c r="K103" s="217">
        <f t="shared" si="109"/>
        <v>890.62225705329149</v>
      </c>
      <c r="L103" s="34">
        <f t="shared" si="102"/>
        <v>597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970.75759518785139</v>
      </c>
      <c r="N103" s="57">
        <v>41</v>
      </c>
      <c r="O103" s="57">
        <v>0</v>
      </c>
      <c r="P103" s="61">
        <f t="shared" si="103"/>
        <v>638</v>
      </c>
      <c r="Q103" s="40">
        <f t="shared" si="110"/>
        <v>39801.061402701904</v>
      </c>
      <c r="R103" s="40">
        <f t="shared" si="111"/>
        <v>0</v>
      </c>
      <c r="S103" s="44">
        <f t="shared" si="112"/>
        <v>619343.34572984918</v>
      </c>
      <c r="T103" s="35">
        <f t="shared" si="113"/>
        <v>638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1052.2030503632593</v>
      </c>
      <c r="V103" s="57">
        <v>0</v>
      </c>
      <c r="W103" s="57">
        <v>0</v>
      </c>
      <c r="X103" s="61">
        <f t="shared" si="104"/>
        <v>638</v>
      </c>
      <c r="Y103" s="40">
        <f t="shared" si="114"/>
        <v>0</v>
      </c>
      <c r="Z103" s="40">
        <f t="shared" si="115"/>
        <v>0</v>
      </c>
      <c r="AA103" s="44">
        <f t="shared" si="116"/>
        <v>671305.54613175942</v>
      </c>
      <c r="AB103" s="35">
        <f t="shared" si="117"/>
        <v>638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1139.4158156118372</v>
      </c>
      <c r="AD103" s="57">
        <v>0</v>
      </c>
      <c r="AE103" s="57">
        <v>0</v>
      </c>
      <c r="AF103" s="61">
        <f t="shared" si="105"/>
        <v>638</v>
      </c>
      <c r="AG103" s="40">
        <f t="shared" si="118"/>
        <v>0</v>
      </c>
      <c r="AH103" s="40">
        <f t="shared" si="119"/>
        <v>0</v>
      </c>
      <c r="AI103" s="44">
        <f t="shared" si="120"/>
        <v>726947.29036035214</v>
      </c>
      <c r="AJ103" s="35">
        <f t="shared" si="106"/>
        <v>638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1231.5488540672097</v>
      </c>
      <c r="AL103" s="57">
        <v>0</v>
      </c>
      <c r="AM103" s="57">
        <v>0</v>
      </c>
      <c r="AN103" s="61">
        <f t="shared" si="107"/>
        <v>638</v>
      </c>
      <c r="AO103" s="40">
        <f t="shared" si="121"/>
        <v>0</v>
      </c>
      <c r="AP103" s="40">
        <f t="shared" si="122"/>
        <v>0</v>
      </c>
      <c r="AQ103" s="44">
        <f t="shared" si="123"/>
        <v>785728.16889487975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227</v>
      </c>
      <c r="G104" s="35">
        <f>SUMIFS(WORKING!$AC$3:$AC$6802,WORKING!$A$3:$A$6802,Results!$D$3,WORKING!$B$3:$B$6802,Results!A104,WORKING!$C$3:$C$6802,Results!C104)/1000</f>
        <v>219818.6377100003</v>
      </c>
      <c r="H104" s="35">
        <f t="shared" si="108"/>
        <v>968.36404277533177</v>
      </c>
      <c r="I104" s="187">
        <v>228</v>
      </c>
      <c r="J104" s="212">
        <v>265570.3548387097</v>
      </c>
      <c r="K104" s="217">
        <f t="shared" si="109"/>
        <v>1164.7822580645161</v>
      </c>
      <c r="L104" s="34">
        <f t="shared" si="102"/>
        <v>228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1218.8429607543376</v>
      </c>
      <c r="N104" s="57">
        <v>20</v>
      </c>
      <c r="O104" s="57">
        <v>0</v>
      </c>
      <c r="P104" s="61">
        <f t="shared" si="103"/>
        <v>248</v>
      </c>
      <c r="Q104" s="40">
        <f t="shared" si="110"/>
        <v>24376.859215086752</v>
      </c>
      <c r="R104" s="40">
        <f t="shared" si="111"/>
        <v>0</v>
      </c>
      <c r="S104" s="44">
        <f t="shared" si="112"/>
        <v>302273.05426707573</v>
      </c>
      <c r="T104" s="35">
        <f t="shared" si="113"/>
        <v>248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1308.7488221350957</v>
      </c>
      <c r="V104" s="57">
        <v>0</v>
      </c>
      <c r="W104" s="57">
        <v>0</v>
      </c>
      <c r="X104" s="61">
        <f t="shared" si="104"/>
        <v>248</v>
      </c>
      <c r="Y104" s="40">
        <f t="shared" si="114"/>
        <v>0</v>
      </c>
      <c r="Z104" s="40">
        <f t="shared" si="115"/>
        <v>0</v>
      </c>
      <c r="AA104" s="44">
        <f t="shared" si="116"/>
        <v>324569.70788950374</v>
      </c>
      <c r="AB104" s="35">
        <f t="shared" si="117"/>
        <v>248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1403.9606933233804</v>
      </c>
      <c r="AD104" s="57">
        <v>0</v>
      </c>
      <c r="AE104" s="57">
        <v>0</v>
      </c>
      <c r="AF104" s="61">
        <f t="shared" si="105"/>
        <v>248</v>
      </c>
      <c r="AG104" s="40">
        <f t="shared" si="118"/>
        <v>0</v>
      </c>
      <c r="AH104" s="40">
        <f t="shared" si="119"/>
        <v>0</v>
      </c>
      <c r="AI104" s="44">
        <f t="shared" si="120"/>
        <v>348182.25194419833</v>
      </c>
      <c r="AJ104" s="35">
        <f t="shared" si="106"/>
        <v>248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1503.2548767432827</v>
      </c>
      <c r="AL104" s="57">
        <v>0</v>
      </c>
      <c r="AM104" s="57">
        <v>0</v>
      </c>
      <c r="AN104" s="61">
        <f t="shared" si="107"/>
        <v>248</v>
      </c>
      <c r="AO104" s="40">
        <f t="shared" si="121"/>
        <v>0</v>
      </c>
      <c r="AP104" s="40">
        <f t="shared" si="122"/>
        <v>0</v>
      </c>
      <c r="AQ104" s="44">
        <f t="shared" si="123"/>
        <v>372807.20943233412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81</v>
      </c>
      <c r="G105" s="35">
        <f>SUMIFS(WORKING!$AC$3:$AC$6802,WORKING!$A$3:$A$6802,Results!$D$3,WORKING!$B$3:$B$6802,Results!A105,WORKING!$C$3:$C$6802,Results!C105)/1000</f>
        <v>87646.325250000024</v>
      </c>
      <c r="H105" s="35">
        <f t="shared" si="108"/>
        <v>1082.0533981481485</v>
      </c>
      <c r="I105" s="187">
        <v>81</v>
      </c>
      <c r="J105" s="212">
        <v>99306</v>
      </c>
      <c r="K105" s="217">
        <f t="shared" si="109"/>
        <v>1226</v>
      </c>
      <c r="L105" s="34">
        <f t="shared" si="102"/>
        <v>81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1282.8388781912386</v>
      </c>
      <c r="N105" s="57">
        <v>0</v>
      </c>
      <c r="O105" s="57">
        <v>0</v>
      </c>
      <c r="P105" s="61">
        <f t="shared" si="103"/>
        <v>81</v>
      </c>
      <c r="Q105" s="40">
        <f t="shared" si="110"/>
        <v>0</v>
      </c>
      <c r="R105" s="40">
        <f t="shared" si="111"/>
        <v>0</v>
      </c>
      <c r="S105" s="44">
        <f t="shared" si="112"/>
        <v>103909.94913349033</v>
      </c>
      <c r="T105" s="35">
        <f t="shared" si="113"/>
        <v>81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1377.3975312587493</v>
      </c>
      <c r="V105" s="57">
        <v>0</v>
      </c>
      <c r="W105" s="57">
        <v>0</v>
      </c>
      <c r="X105" s="61">
        <f t="shared" si="104"/>
        <v>81</v>
      </c>
      <c r="Y105" s="40">
        <f t="shared" si="114"/>
        <v>0</v>
      </c>
      <c r="Z105" s="40">
        <f t="shared" si="115"/>
        <v>0</v>
      </c>
      <c r="AA105" s="44">
        <f t="shared" si="116"/>
        <v>111569.2000319587</v>
      </c>
      <c r="AB105" s="35">
        <f t="shared" si="117"/>
        <v>81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1477.5309334766202</v>
      </c>
      <c r="AD105" s="57">
        <v>0</v>
      </c>
      <c r="AE105" s="57">
        <v>0</v>
      </c>
      <c r="AF105" s="61">
        <f t="shared" si="105"/>
        <v>81</v>
      </c>
      <c r="AG105" s="40">
        <f t="shared" si="118"/>
        <v>0</v>
      </c>
      <c r="AH105" s="40">
        <f t="shared" si="119"/>
        <v>0</v>
      </c>
      <c r="AI105" s="44">
        <f t="shared" si="120"/>
        <v>119680.00561160623</v>
      </c>
      <c r="AJ105" s="35">
        <f t="shared" si="106"/>
        <v>81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1581.9505031592516</v>
      </c>
      <c r="AL105" s="57">
        <v>0</v>
      </c>
      <c r="AM105" s="57">
        <v>0</v>
      </c>
      <c r="AN105" s="61">
        <f t="shared" si="107"/>
        <v>81</v>
      </c>
      <c r="AO105" s="40">
        <f t="shared" si="121"/>
        <v>0</v>
      </c>
      <c r="AP105" s="40">
        <f t="shared" si="122"/>
        <v>0</v>
      </c>
      <c r="AQ105" s="44">
        <f t="shared" si="123"/>
        <v>128137.99075589939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11</v>
      </c>
      <c r="G106" s="35">
        <f>SUMIFS(WORKING!$AC$3:$AC$6802,WORKING!$A$3:$A$6802,Results!$D$3,WORKING!$B$3:$B$6802,Results!A106,WORKING!$C$3:$C$6802,Results!C106)/1000</f>
        <v>13726.444499999998</v>
      </c>
      <c r="H106" s="35">
        <f t="shared" si="108"/>
        <v>1247.8585909090907</v>
      </c>
      <c r="I106" s="187">
        <v>11</v>
      </c>
      <c r="J106" s="212">
        <v>18576.8</v>
      </c>
      <c r="K106" s="217">
        <f t="shared" si="109"/>
        <v>1688.8</v>
      </c>
      <c r="L106" s="34">
        <f t="shared" si="102"/>
        <v>11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1767.2085753179192</v>
      </c>
      <c r="N106" s="57">
        <v>0</v>
      </c>
      <c r="O106" s="57">
        <v>0</v>
      </c>
      <c r="P106" s="61">
        <f t="shared" si="103"/>
        <v>11</v>
      </c>
      <c r="Q106" s="40">
        <f t="shared" si="110"/>
        <v>0</v>
      </c>
      <c r="R106" s="40">
        <f t="shared" si="111"/>
        <v>0</v>
      </c>
      <c r="S106" s="44">
        <f t="shared" si="112"/>
        <v>19439.294328497112</v>
      </c>
      <c r="T106" s="35">
        <f t="shared" si="113"/>
        <v>11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1897.5924510102097</v>
      </c>
      <c r="V106" s="57">
        <v>0</v>
      </c>
      <c r="W106" s="57">
        <v>0</v>
      </c>
      <c r="X106" s="61">
        <f t="shared" si="104"/>
        <v>11</v>
      </c>
      <c r="Y106" s="40">
        <f t="shared" si="114"/>
        <v>0</v>
      </c>
      <c r="Z106" s="40">
        <f t="shared" si="115"/>
        <v>0</v>
      </c>
      <c r="AA106" s="44">
        <f t="shared" si="116"/>
        <v>20873.516961112306</v>
      </c>
      <c r="AB106" s="35">
        <f t="shared" si="117"/>
        <v>11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2035.6737316500387</v>
      </c>
      <c r="AD106" s="57">
        <v>0</v>
      </c>
      <c r="AE106" s="57">
        <v>0</v>
      </c>
      <c r="AF106" s="61">
        <f t="shared" si="105"/>
        <v>11</v>
      </c>
      <c r="AG106" s="40">
        <f t="shared" si="118"/>
        <v>0</v>
      </c>
      <c r="AH106" s="40">
        <f t="shared" si="119"/>
        <v>0</v>
      </c>
      <c r="AI106" s="44">
        <f t="shared" si="120"/>
        <v>22392.411048150425</v>
      </c>
      <c r="AJ106" s="35">
        <f t="shared" si="106"/>
        <v>11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2179.6784391967576</v>
      </c>
      <c r="AL106" s="57">
        <v>0</v>
      </c>
      <c r="AM106" s="57">
        <v>0</v>
      </c>
      <c r="AN106" s="61">
        <f t="shared" si="107"/>
        <v>11</v>
      </c>
      <c r="AO106" s="40">
        <f t="shared" si="121"/>
        <v>0</v>
      </c>
      <c r="AP106" s="40">
        <f t="shared" si="122"/>
        <v>0</v>
      </c>
      <c r="AQ106" s="44">
        <f t="shared" si="123"/>
        <v>23976.462831164332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98822</v>
      </c>
      <c r="G112" s="41">
        <f>SUM(G92:G111)</f>
        <v>25989571.033769999</v>
      </c>
      <c r="H112" s="41">
        <f>IFERROR(G112/F112,0)</f>
        <v>262.99377703112668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102731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30067522.60800752</v>
      </c>
      <c r="K112" s="41">
        <f>IFERROR(J112/I112,"")</f>
        <v>292.68207851580848</v>
      </c>
      <c r="L112" s="41">
        <f>SUM(L92:L111)</f>
        <v>102731</v>
      </c>
      <c r="M112" s="41">
        <f>IFERROR(S112/P112,0)</f>
        <v>317.54704709415262</v>
      </c>
      <c r="N112" s="41">
        <f t="shared" ref="N112:T112" si="124">SUM(N92:N111)</f>
        <v>1773</v>
      </c>
      <c r="O112" s="41">
        <f t="shared" si="124"/>
        <v>3900</v>
      </c>
      <c r="P112" s="41">
        <f t="shared" si="124"/>
        <v>100604</v>
      </c>
      <c r="Q112" s="41">
        <f t="shared" si="124"/>
        <v>786979.08884688141</v>
      </c>
      <c r="R112" s="41">
        <f t="shared" si="124"/>
        <v>-1482448.9562165942</v>
      </c>
      <c r="S112" s="45">
        <f t="shared" si="124"/>
        <v>31946503.125860132</v>
      </c>
      <c r="T112" s="41">
        <f t="shared" si="124"/>
        <v>100604</v>
      </c>
      <c r="U112" s="41">
        <f>IFERROR(AA112/X112,0)</f>
        <v>342.10168950494807</v>
      </c>
      <c r="V112" s="41">
        <f t="shared" ref="V112:AB112" si="125">SUM(V92:V111)</f>
        <v>0</v>
      </c>
      <c r="W112" s="41">
        <f t="shared" si="125"/>
        <v>2501</v>
      </c>
      <c r="X112" s="41">
        <f t="shared" si="125"/>
        <v>98103</v>
      </c>
      <c r="Y112" s="41">
        <f t="shared" si="125"/>
        <v>0</v>
      </c>
      <c r="Z112" s="41">
        <f t="shared" si="125"/>
        <v>-1029472.7813283642</v>
      </c>
      <c r="AA112" s="45">
        <f t="shared" si="125"/>
        <v>33561202.045503922</v>
      </c>
      <c r="AB112" s="41">
        <f t="shared" si="125"/>
        <v>98103</v>
      </c>
      <c r="AC112" s="41">
        <f>IFERROR(AI112/AF112,0)</f>
        <v>368.42054180032977</v>
      </c>
      <c r="AD112" s="41">
        <f t="shared" ref="AD112:AJ112" si="126">SUM(AD92:AD111)</f>
        <v>0</v>
      </c>
      <c r="AE112" s="41">
        <f t="shared" si="126"/>
        <v>2094</v>
      </c>
      <c r="AF112" s="41">
        <f t="shared" si="126"/>
        <v>96009</v>
      </c>
      <c r="AG112" s="41">
        <f t="shared" si="126"/>
        <v>0</v>
      </c>
      <c r="AH112" s="41">
        <f t="shared" si="126"/>
        <v>-932986.91731036303</v>
      </c>
      <c r="AI112" s="45">
        <f t="shared" si="126"/>
        <v>35371687.797707863</v>
      </c>
      <c r="AJ112" s="41">
        <f t="shared" si="126"/>
        <v>96009</v>
      </c>
      <c r="AK112" s="41">
        <f>IFERROR(AQ112/AN112,0)</f>
        <v>397.47271806454069</v>
      </c>
      <c r="AL112" s="41">
        <f t="shared" ref="AL112:AQ112" si="127">SUM(AL92:AL111)</f>
        <v>0</v>
      </c>
      <c r="AM112" s="41">
        <f t="shared" si="127"/>
        <v>361</v>
      </c>
      <c r="AN112" s="41">
        <f t="shared" si="127"/>
        <v>95648</v>
      </c>
      <c r="AO112" s="41">
        <f t="shared" si="127"/>
        <v>0</v>
      </c>
      <c r="AP112" s="41">
        <f t="shared" si="127"/>
        <v>-173732.60771941073</v>
      </c>
      <c r="AQ112" s="45">
        <f t="shared" si="127"/>
        <v>38017470.537437186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32304514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34474573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36807765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39605155.140000001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358010.87413986772</v>
      </c>
      <c r="T114" s="39"/>
      <c r="U114" s="39"/>
      <c r="V114" s="53"/>
      <c r="W114" s="53"/>
      <c r="X114" s="110"/>
      <c r="Y114" s="39"/>
      <c r="Z114" s="39"/>
      <c r="AA114" s="54">
        <f>AA113-AA112</f>
        <v>913370.95449607819</v>
      </c>
      <c r="AB114" s="39"/>
      <c r="AC114" s="53"/>
      <c r="AD114" s="53"/>
      <c r="AE114" s="110"/>
      <c r="AF114" s="39"/>
      <c r="AG114" s="39"/>
      <c r="AH114" s="39"/>
      <c r="AI114" s="54">
        <f>AI113-AI112</f>
        <v>1436077.2022921368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1587684.602562815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Detective Services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14</v>
      </c>
      <c r="G120" s="35">
        <f>SUMIFS(WORKING!$AC$3:$AC$6802,WORKING!$A$3:$A$6802,Results!$D$3,WORKING!$B$3:$B$6802,Results!A120,WORKING!$C$3:$C$6802,Results!C120)/1000</f>
        <v>48117.618589999991</v>
      </c>
      <c r="H120" s="35">
        <f>IFERROR(G120/F120,0)</f>
        <v>3436.9727564285708</v>
      </c>
      <c r="I120" s="156">
        <v>19</v>
      </c>
      <c r="J120" s="211">
        <v>2176.2949790794983</v>
      </c>
      <c r="K120" s="217">
        <f>IFERROR(IF(J120="",G120,J120)/IF(I120="",F120,I120),"")</f>
        <v>114.54184100418412</v>
      </c>
      <c r="L120" s="34">
        <f t="shared" ref="L120:L139" si="128">IF(I120="",F120,I120)</f>
        <v>19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123.88519460460985</v>
      </c>
      <c r="N120" s="57">
        <v>0</v>
      </c>
      <c r="O120" s="57">
        <v>0</v>
      </c>
      <c r="P120" s="61">
        <f t="shared" ref="P120:P139" si="129">-O120+L120+N120</f>
        <v>19</v>
      </c>
      <c r="Q120" s="40">
        <f>M120*N120</f>
        <v>0</v>
      </c>
      <c r="R120" s="40">
        <f>-M120*O120</f>
        <v>0</v>
      </c>
      <c r="S120" s="44">
        <f>M120*P120</f>
        <v>2353.8186974875871</v>
      </c>
      <c r="T120" s="35">
        <f>P120</f>
        <v>19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134.01906827078579</v>
      </c>
      <c r="V120" s="57">
        <v>0</v>
      </c>
      <c r="W120" s="57">
        <v>0</v>
      </c>
      <c r="X120" s="61">
        <f t="shared" ref="X120:X139" si="130">-W120+T120+V120</f>
        <v>19</v>
      </c>
      <c r="Y120" s="40">
        <f>U120*V120</f>
        <v>0</v>
      </c>
      <c r="Z120" s="40">
        <f>-U120*W120</f>
        <v>0</v>
      </c>
      <c r="AA120" s="44">
        <f>U120*X120</f>
        <v>2546.3622971449299</v>
      </c>
      <c r="AB120" s="35">
        <f>X120</f>
        <v>19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144.8464747418119</v>
      </c>
      <c r="AD120" s="57">
        <v>0</v>
      </c>
      <c r="AE120" s="57">
        <v>0</v>
      </c>
      <c r="AF120" s="61">
        <f t="shared" ref="AF120:AF139" si="131">-AE120+AB120+AD120</f>
        <v>19</v>
      </c>
      <c r="AG120" s="40">
        <f>AC120*AD120</f>
        <v>0</v>
      </c>
      <c r="AH120" s="40">
        <f>-AC120*AE120</f>
        <v>0</v>
      </c>
      <c r="AI120" s="44">
        <f>AC120*AF120</f>
        <v>2752.083020094426</v>
      </c>
      <c r="AJ120" s="35">
        <f t="shared" ref="AJ120:AJ139" si="132">AF120</f>
        <v>19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156.25589942900788</v>
      </c>
      <c r="AL120" s="57">
        <v>0</v>
      </c>
      <c r="AM120" s="57">
        <v>0</v>
      </c>
      <c r="AN120" s="61">
        <f t="shared" ref="AN120:AN139" si="133">-AM120+AJ120+AL120</f>
        <v>19</v>
      </c>
      <c r="AO120" s="40">
        <f>AK120*AL120</f>
        <v>0</v>
      </c>
      <c r="AP120" s="40">
        <f>-AK120*AM120</f>
        <v>0</v>
      </c>
      <c r="AQ120" s="44">
        <f>AK120*AN120</f>
        <v>2968.8620891511496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546</v>
      </c>
      <c r="G121" s="35">
        <f>SUMIFS(WORKING!$AC$3:$AC$6802,WORKING!$A$3:$A$6802,Results!$D$3,WORKING!$B$3:$B$6802,Results!A121,WORKING!$C$3:$C$6802,Results!C121)/1000</f>
        <v>19094.980909999998</v>
      </c>
      <c r="H121" s="35">
        <f t="shared" ref="H121:H139" si="134">IFERROR(G121/F121,0)</f>
        <v>34.972492509157505</v>
      </c>
      <c r="I121" s="187">
        <v>550</v>
      </c>
      <c r="J121" s="212">
        <v>70966.666666666672</v>
      </c>
      <c r="K121" s="217">
        <f t="shared" ref="K121:K139" si="135">IFERROR(IF(J121="",G121,J121)/IF(I121="",F121,I121),"")</f>
        <v>129.03030303030303</v>
      </c>
      <c r="L121" s="34">
        <f t="shared" si="128"/>
        <v>550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139.02651318396639</v>
      </c>
      <c r="N121" s="57">
        <v>0</v>
      </c>
      <c r="O121" s="57">
        <v>0</v>
      </c>
      <c r="P121" s="61">
        <f t="shared" si="129"/>
        <v>550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76464.582251181506</v>
      </c>
      <c r="T121" s="35">
        <f t="shared" ref="T121:T139" si="139">P121</f>
        <v>550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150.24530051123784</v>
      </c>
      <c r="V121" s="57">
        <v>0</v>
      </c>
      <c r="W121" s="57">
        <v>0</v>
      </c>
      <c r="X121" s="61">
        <f t="shared" si="130"/>
        <v>550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82634.915281180816</v>
      </c>
      <c r="AB121" s="35">
        <f t="shared" ref="AB121:AB139" si="143">X121</f>
        <v>550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162.21762560147243</v>
      </c>
      <c r="AD121" s="57">
        <v>0</v>
      </c>
      <c r="AE121" s="57">
        <v>0</v>
      </c>
      <c r="AF121" s="61">
        <f t="shared" si="131"/>
        <v>550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89219.694080809844</v>
      </c>
      <c r="AJ121" s="35">
        <f t="shared" si="132"/>
        <v>550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174.81624923452404</v>
      </c>
      <c r="AL121" s="57">
        <v>0</v>
      </c>
      <c r="AM121" s="57">
        <v>0</v>
      </c>
      <c r="AN121" s="61">
        <f t="shared" si="133"/>
        <v>550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96148.937078988223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714</v>
      </c>
      <c r="G122" s="35">
        <f>SUMIFS(WORKING!$AC$3:$AC$6802,WORKING!$A$3:$A$6802,Results!$D$3,WORKING!$B$3:$B$6802,Results!A122,WORKING!$C$3:$C$6802,Results!C122)/1000</f>
        <v>110651.77386000003</v>
      </c>
      <c r="H122" s="35">
        <f t="shared" si="134"/>
        <v>154.97447319327736</v>
      </c>
      <c r="I122" s="187">
        <v>734</v>
      </c>
      <c r="J122" s="212">
        <v>120516.71868978805</v>
      </c>
      <c r="K122" s="217">
        <f t="shared" si="135"/>
        <v>164.1917148362235</v>
      </c>
      <c r="L122" s="34">
        <f t="shared" si="128"/>
        <v>734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177.70616000062287</v>
      </c>
      <c r="N122" s="57">
        <v>0</v>
      </c>
      <c r="O122" s="57">
        <v>0</v>
      </c>
      <c r="P122" s="61">
        <f t="shared" si="129"/>
        <v>734</v>
      </c>
      <c r="Q122" s="40">
        <f t="shared" si="136"/>
        <v>0</v>
      </c>
      <c r="R122" s="40">
        <f t="shared" si="137"/>
        <v>0</v>
      </c>
      <c r="S122" s="44">
        <f t="shared" si="138"/>
        <v>130436.32144045719</v>
      </c>
      <c r="T122" s="35">
        <f t="shared" si="139"/>
        <v>734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192.27445628023978</v>
      </c>
      <c r="V122" s="57">
        <v>0</v>
      </c>
      <c r="W122" s="57">
        <v>0</v>
      </c>
      <c r="X122" s="61">
        <f t="shared" si="130"/>
        <v>734</v>
      </c>
      <c r="Y122" s="40">
        <f t="shared" si="140"/>
        <v>0</v>
      </c>
      <c r="Z122" s="40">
        <f t="shared" si="141"/>
        <v>0</v>
      </c>
      <c r="AA122" s="44">
        <f t="shared" si="142"/>
        <v>141129.450909696</v>
      </c>
      <c r="AB122" s="35">
        <f t="shared" si="143"/>
        <v>734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207.84271077562241</v>
      </c>
      <c r="AD122" s="57">
        <v>0</v>
      </c>
      <c r="AE122" s="57">
        <v>0</v>
      </c>
      <c r="AF122" s="61">
        <f t="shared" si="131"/>
        <v>734</v>
      </c>
      <c r="AG122" s="40">
        <f t="shared" si="144"/>
        <v>0</v>
      </c>
      <c r="AH122" s="40">
        <f t="shared" si="145"/>
        <v>0</v>
      </c>
      <c r="AI122" s="44">
        <f t="shared" si="146"/>
        <v>152556.54970930686</v>
      </c>
      <c r="AJ122" s="35">
        <f t="shared" si="132"/>
        <v>734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224.25134551515788</v>
      </c>
      <c r="AL122" s="57">
        <v>0</v>
      </c>
      <c r="AM122" s="57">
        <v>0</v>
      </c>
      <c r="AN122" s="61">
        <f t="shared" si="133"/>
        <v>734</v>
      </c>
      <c r="AO122" s="40">
        <f t="shared" si="147"/>
        <v>0</v>
      </c>
      <c r="AP122" s="40">
        <f t="shared" si="148"/>
        <v>0</v>
      </c>
      <c r="AQ122" s="44">
        <f t="shared" si="149"/>
        <v>164600.48760812587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50</v>
      </c>
      <c r="G123" s="35">
        <f>SUMIFS(WORKING!$AC$3:$AC$6802,WORKING!$A$3:$A$6802,Results!$D$3,WORKING!$B$3:$B$6802,Results!A123,WORKING!$C$3:$C$6802,Results!C123)/1000</f>
        <v>7347.1187800000007</v>
      </c>
      <c r="H123" s="35">
        <f t="shared" si="134"/>
        <v>146.94237560000002</v>
      </c>
      <c r="I123" s="187">
        <v>50</v>
      </c>
      <c r="J123" s="212">
        <v>9553.5714285714294</v>
      </c>
      <c r="K123" s="217">
        <f t="shared" si="135"/>
        <v>191.07142857142858</v>
      </c>
      <c r="L123" s="34">
        <f t="shared" si="128"/>
        <v>50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207.02777443961227</v>
      </c>
      <c r="N123" s="57">
        <v>0</v>
      </c>
      <c r="O123" s="57">
        <v>0</v>
      </c>
      <c r="P123" s="61">
        <f t="shared" si="129"/>
        <v>50</v>
      </c>
      <c r="Q123" s="40">
        <f t="shared" si="136"/>
        <v>0</v>
      </c>
      <c r="R123" s="40">
        <f t="shared" si="137"/>
        <v>0</v>
      </c>
      <c r="S123" s="44">
        <f t="shared" si="138"/>
        <v>10351.388721980613</v>
      </c>
      <c r="T123" s="35">
        <f t="shared" si="139"/>
        <v>50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224.06689311163794</v>
      </c>
      <c r="V123" s="57">
        <v>0</v>
      </c>
      <c r="W123" s="57">
        <v>0</v>
      </c>
      <c r="X123" s="61">
        <f t="shared" si="130"/>
        <v>50</v>
      </c>
      <c r="Y123" s="40">
        <f t="shared" si="140"/>
        <v>0</v>
      </c>
      <c r="Z123" s="40">
        <f t="shared" si="141"/>
        <v>0</v>
      </c>
      <c r="AA123" s="44">
        <f t="shared" si="142"/>
        <v>11203.344655581897</v>
      </c>
      <c r="AB123" s="35">
        <f t="shared" si="143"/>
        <v>50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242.28188448069886</v>
      </c>
      <c r="AD123" s="57">
        <v>0</v>
      </c>
      <c r="AE123" s="57">
        <v>0</v>
      </c>
      <c r="AF123" s="61">
        <f t="shared" si="131"/>
        <v>50</v>
      </c>
      <c r="AG123" s="40">
        <f t="shared" si="144"/>
        <v>0</v>
      </c>
      <c r="AH123" s="40">
        <f t="shared" si="145"/>
        <v>0</v>
      </c>
      <c r="AI123" s="44">
        <f t="shared" si="146"/>
        <v>12114.094224034943</v>
      </c>
      <c r="AJ123" s="35">
        <f t="shared" si="132"/>
        <v>50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261.48777986445788</v>
      </c>
      <c r="AL123" s="57">
        <v>0</v>
      </c>
      <c r="AM123" s="57">
        <v>0</v>
      </c>
      <c r="AN123" s="61">
        <f t="shared" si="133"/>
        <v>50</v>
      </c>
      <c r="AO123" s="40">
        <f t="shared" si="147"/>
        <v>0</v>
      </c>
      <c r="AP123" s="40">
        <f t="shared" si="148"/>
        <v>0</v>
      </c>
      <c r="AQ123" s="44">
        <f t="shared" si="149"/>
        <v>13074.388993222894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15357</v>
      </c>
      <c r="G124" s="35">
        <f>SUMIFS(WORKING!$AC$3:$AC$6802,WORKING!$A$3:$A$6802,Results!$D$3,WORKING!$B$3:$B$6802,Results!A124,WORKING!$C$3:$C$6802,Results!C124)/1000</f>
        <v>3187022.6225800007</v>
      </c>
      <c r="H124" s="35">
        <f t="shared" si="134"/>
        <v>207.52898499576744</v>
      </c>
      <c r="I124" s="187">
        <v>15553</v>
      </c>
      <c r="J124" s="212">
        <v>3196434</v>
      </c>
      <c r="K124" s="217">
        <f t="shared" si="135"/>
        <v>205.51880666109432</v>
      </c>
      <c r="L124" s="34">
        <f t="shared" si="128"/>
        <v>15553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222.92693531569637</v>
      </c>
      <c r="N124" s="57">
        <v>0</v>
      </c>
      <c r="O124" s="57">
        <v>0</v>
      </c>
      <c r="P124" s="61">
        <f t="shared" si="129"/>
        <v>15553</v>
      </c>
      <c r="Q124" s="40">
        <f t="shared" si="136"/>
        <v>0</v>
      </c>
      <c r="R124" s="40">
        <f t="shared" si="137"/>
        <v>0</v>
      </c>
      <c r="S124" s="44">
        <f t="shared" si="138"/>
        <v>3467182.6249650256</v>
      </c>
      <c r="T124" s="35">
        <f t="shared" si="139"/>
        <v>15553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241.32640146098331</v>
      </c>
      <c r="V124" s="57">
        <v>0</v>
      </c>
      <c r="W124" s="57">
        <v>0</v>
      </c>
      <c r="X124" s="61">
        <f t="shared" si="130"/>
        <v>15553</v>
      </c>
      <c r="Y124" s="40">
        <f t="shared" si="140"/>
        <v>0</v>
      </c>
      <c r="Z124" s="40">
        <f t="shared" si="141"/>
        <v>0</v>
      </c>
      <c r="AA124" s="44">
        <f t="shared" si="142"/>
        <v>3753349.5219226736</v>
      </c>
      <c r="AB124" s="35">
        <f t="shared" si="143"/>
        <v>15553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261.00026803268884</v>
      </c>
      <c r="AD124" s="57">
        <v>0</v>
      </c>
      <c r="AE124" s="57">
        <v>0</v>
      </c>
      <c r="AF124" s="61">
        <f t="shared" si="131"/>
        <v>15553</v>
      </c>
      <c r="AG124" s="40">
        <f t="shared" si="144"/>
        <v>0</v>
      </c>
      <c r="AH124" s="40">
        <f t="shared" si="145"/>
        <v>0</v>
      </c>
      <c r="AI124" s="44">
        <f t="shared" si="146"/>
        <v>4059337.1687124097</v>
      </c>
      <c r="AJ124" s="35">
        <f t="shared" si="132"/>
        <v>15553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281.74977529674726</v>
      </c>
      <c r="AL124" s="57">
        <v>0</v>
      </c>
      <c r="AM124" s="57">
        <v>0</v>
      </c>
      <c r="AN124" s="61">
        <f t="shared" si="133"/>
        <v>15553</v>
      </c>
      <c r="AO124" s="40">
        <f t="shared" si="147"/>
        <v>0</v>
      </c>
      <c r="AP124" s="40">
        <f t="shared" si="148"/>
        <v>0</v>
      </c>
      <c r="AQ124" s="44">
        <f t="shared" si="149"/>
        <v>4382054.2551903101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5379</v>
      </c>
      <c r="G125" s="35">
        <f>SUMIFS(WORKING!$AC$3:$AC$6802,WORKING!$A$3:$A$6802,Results!$D$3,WORKING!$B$3:$B$6802,Results!A125,WORKING!$C$3:$C$6802,Results!C125)/1000</f>
        <v>1314137.0600400001</v>
      </c>
      <c r="H125" s="35">
        <f t="shared" si="134"/>
        <v>244.30880461795874</v>
      </c>
      <c r="I125" s="187">
        <v>5441</v>
      </c>
      <c r="J125" s="212">
        <v>1758102.4112581392</v>
      </c>
      <c r="K125" s="217">
        <f t="shared" si="135"/>
        <v>323.12119302667509</v>
      </c>
      <c r="L125" s="34">
        <f t="shared" si="128"/>
        <v>5441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350.88600522234782</v>
      </c>
      <c r="N125" s="57">
        <v>590</v>
      </c>
      <c r="O125" s="57">
        <v>0</v>
      </c>
      <c r="P125" s="61">
        <f t="shared" si="129"/>
        <v>6031</v>
      </c>
      <c r="Q125" s="40">
        <f t="shared" si="136"/>
        <v>207022.74308118521</v>
      </c>
      <c r="R125" s="40">
        <f t="shared" si="137"/>
        <v>0</v>
      </c>
      <c r="S125" s="44">
        <f t="shared" si="138"/>
        <v>2116193.4974959795</v>
      </c>
      <c r="T125" s="35">
        <f t="shared" si="139"/>
        <v>6031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379.95480486009086</v>
      </c>
      <c r="V125" s="57">
        <v>0</v>
      </c>
      <c r="W125" s="57">
        <v>0</v>
      </c>
      <c r="X125" s="61">
        <f t="shared" si="130"/>
        <v>6031</v>
      </c>
      <c r="Y125" s="40">
        <f t="shared" si="140"/>
        <v>0</v>
      </c>
      <c r="Z125" s="40">
        <f t="shared" si="141"/>
        <v>0</v>
      </c>
      <c r="AA125" s="44">
        <f t="shared" si="142"/>
        <v>2291507.4281112081</v>
      </c>
      <c r="AB125" s="35">
        <f t="shared" si="143"/>
        <v>6031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411.04714522542588</v>
      </c>
      <c r="AD125" s="57">
        <v>0</v>
      </c>
      <c r="AE125" s="57">
        <v>0</v>
      </c>
      <c r="AF125" s="61">
        <f t="shared" si="131"/>
        <v>6031</v>
      </c>
      <c r="AG125" s="40">
        <f t="shared" si="144"/>
        <v>0</v>
      </c>
      <c r="AH125" s="40">
        <f t="shared" si="145"/>
        <v>0</v>
      </c>
      <c r="AI125" s="44">
        <f t="shared" si="146"/>
        <v>2479025.3328545433</v>
      </c>
      <c r="AJ125" s="35">
        <f t="shared" si="132"/>
        <v>6031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443.85160370957658</v>
      </c>
      <c r="AL125" s="57">
        <v>0</v>
      </c>
      <c r="AM125" s="57">
        <v>0</v>
      </c>
      <c r="AN125" s="61">
        <f t="shared" si="133"/>
        <v>6031</v>
      </c>
      <c r="AO125" s="40">
        <f t="shared" si="147"/>
        <v>0</v>
      </c>
      <c r="AP125" s="40">
        <f t="shared" si="148"/>
        <v>0</v>
      </c>
      <c r="AQ125" s="44">
        <f t="shared" si="149"/>
        <v>2676869.0219724565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9995</v>
      </c>
      <c r="G126" s="35">
        <f>SUMIFS(WORKING!$AC$3:$AC$6802,WORKING!$A$3:$A$6802,Results!$D$3,WORKING!$B$3:$B$6802,Results!A126,WORKING!$C$3:$C$6802,Results!C126)/1000</f>
        <v>3545173.5261500003</v>
      </c>
      <c r="H126" s="35">
        <f t="shared" si="134"/>
        <v>354.69469996498253</v>
      </c>
      <c r="I126" s="187">
        <v>10114</v>
      </c>
      <c r="J126" s="212">
        <v>3914191.3417049879</v>
      </c>
      <c r="K126" s="217">
        <f t="shared" si="135"/>
        <v>387.00725150336046</v>
      </c>
      <c r="L126" s="34">
        <f t="shared" si="128"/>
        <v>10114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420.70430148364056</v>
      </c>
      <c r="N126" s="57">
        <v>0</v>
      </c>
      <c r="O126" s="57">
        <v>460</v>
      </c>
      <c r="P126" s="61">
        <f t="shared" si="129"/>
        <v>9654</v>
      </c>
      <c r="Q126" s="40">
        <f t="shared" si="136"/>
        <v>0</v>
      </c>
      <c r="R126" s="40">
        <f t="shared" si="137"/>
        <v>-193523.97868247467</v>
      </c>
      <c r="S126" s="44">
        <f t="shared" si="138"/>
        <v>4061479.326523066</v>
      </c>
      <c r="T126" s="35">
        <f t="shared" si="139"/>
        <v>9654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455.68112916376214</v>
      </c>
      <c r="V126" s="57">
        <v>0</v>
      </c>
      <c r="W126" s="57">
        <v>188</v>
      </c>
      <c r="X126" s="61">
        <f t="shared" si="130"/>
        <v>9466</v>
      </c>
      <c r="Y126" s="40">
        <f t="shared" si="140"/>
        <v>0</v>
      </c>
      <c r="Z126" s="40">
        <f t="shared" si="141"/>
        <v>-85668.052282787277</v>
      </c>
      <c r="AA126" s="44">
        <f t="shared" si="142"/>
        <v>4313477.5686641727</v>
      </c>
      <c r="AB126" s="35">
        <f t="shared" si="143"/>
        <v>9466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493.10447779189724</v>
      </c>
      <c r="AD126" s="57">
        <v>0</v>
      </c>
      <c r="AE126" s="57">
        <v>0</v>
      </c>
      <c r="AF126" s="61">
        <f t="shared" si="131"/>
        <v>9466</v>
      </c>
      <c r="AG126" s="40">
        <f t="shared" si="144"/>
        <v>0</v>
      </c>
      <c r="AH126" s="40">
        <f t="shared" si="145"/>
        <v>0</v>
      </c>
      <c r="AI126" s="44">
        <f t="shared" si="146"/>
        <v>4667726.9867780991</v>
      </c>
      <c r="AJ126" s="35">
        <f t="shared" si="132"/>
        <v>9466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532.60265826207205</v>
      </c>
      <c r="AL126" s="57">
        <v>0</v>
      </c>
      <c r="AM126" s="57">
        <v>0</v>
      </c>
      <c r="AN126" s="61">
        <f t="shared" si="133"/>
        <v>9466</v>
      </c>
      <c r="AO126" s="40">
        <f t="shared" si="147"/>
        <v>0</v>
      </c>
      <c r="AP126" s="40">
        <f t="shared" si="148"/>
        <v>0</v>
      </c>
      <c r="AQ126" s="44">
        <f t="shared" si="149"/>
        <v>5041616.7631087741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4120</v>
      </c>
      <c r="G127" s="35">
        <f>SUMIFS(WORKING!$AC$3:$AC$6802,WORKING!$A$3:$A$6802,Results!$D$3,WORKING!$B$3:$B$6802,Results!A127,WORKING!$C$3:$C$6802,Results!C127)/1000</f>
        <v>1672413.9780799998</v>
      </c>
      <c r="H127" s="35">
        <f t="shared" si="134"/>
        <v>405.92572283495139</v>
      </c>
      <c r="I127" s="187">
        <v>4156</v>
      </c>
      <c r="J127" s="212">
        <v>1801652.6752246469</v>
      </c>
      <c r="K127" s="217">
        <f t="shared" si="135"/>
        <v>433.50641848523748</v>
      </c>
      <c r="L127" s="34">
        <f t="shared" si="128"/>
        <v>4156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471.46562333765297</v>
      </c>
      <c r="N127" s="57">
        <v>518</v>
      </c>
      <c r="O127" s="57">
        <v>1</v>
      </c>
      <c r="P127" s="61">
        <f t="shared" si="129"/>
        <v>4673</v>
      </c>
      <c r="Q127" s="40">
        <f t="shared" si="136"/>
        <v>244219.19288890425</v>
      </c>
      <c r="R127" s="40">
        <f t="shared" si="137"/>
        <v>-471.46562333765297</v>
      </c>
      <c r="S127" s="44">
        <f t="shared" si="138"/>
        <v>2203158.8578568525</v>
      </c>
      <c r="T127" s="35">
        <f t="shared" si="139"/>
        <v>4673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510.72360511185303</v>
      </c>
      <c r="V127" s="57">
        <v>0</v>
      </c>
      <c r="W127" s="57">
        <v>0</v>
      </c>
      <c r="X127" s="61">
        <f t="shared" si="130"/>
        <v>4673</v>
      </c>
      <c r="Y127" s="40">
        <f t="shared" si="140"/>
        <v>0</v>
      </c>
      <c r="Z127" s="40">
        <f t="shared" si="141"/>
        <v>0</v>
      </c>
      <c r="AA127" s="44">
        <f t="shared" si="142"/>
        <v>2386611.406687689</v>
      </c>
      <c r="AB127" s="35">
        <f t="shared" si="143"/>
        <v>4673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552.73333385589535</v>
      </c>
      <c r="AD127" s="57">
        <v>0</v>
      </c>
      <c r="AE127" s="57">
        <v>0</v>
      </c>
      <c r="AF127" s="61">
        <f t="shared" si="131"/>
        <v>4673</v>
      </c>
      <c r="AG127" s="40">
        <f t="shared" si="144"/>
        <v>0</v>
      </c>
      <c r="AH127" s="40">
        <f t="shared" si="145"/>
        <v>0</v>
      </c>
      <c r="AI127" s="44">
        <f t="shared" si="146"/>
        <v>2582922.8691085991</v>
      </c>
      <c r="AJ127" s="35">
        <f t="shared" si="132"/>
        <v>4673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597.07913307191291</v>
      </c>
      <c r="AL127" s="57">
        <v>0</v>
      </c>
      <c r="AM127" s="57">
        <v>0</v>
      </c>
      <c r="AN127" s="61">
        <f t="shared" si="133"/>
        <v>4673</v>
      </c>
      <c r="AO127" s="40">
        <f t="shared" si="147"/>
        <v>0</v>
      </c>
      <c r="AP127" s="40">
        <f t="shared" si="148"/>
        <v>0</v>
      </c>
      <c r="AQ127" s="44">
        <f t="shared" si="149"/>
        <v>2790150.7888450492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>
        <v>0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1579</v>
      </c>
      <c r="G129" s="35">
        <f>SUMIFS(WORKING!$AC$3:$AC$6802,WORKING!$A$3:$A$6802,Results!$D$3,WORKING!$B$3:$B$6802,Results!A129,WORKING!$C$3:$C$6802,Results!C129)/1000</f>
        <v>759708.12527999969</v>
      </c>
      <c r="H129" s="35">
        <f t="shared" si="134"/>
        <v>481.1324415959466</v>
      </c>
      <c r="I129" s="187">
        <v>1586</v>
      </c>
      <c r="J129" s="212">
        <v>900690.86956521741</v>
      </c>
      <c r="K129" s="217">
        <f t="shared" si="135"/>
        <v>567.90092658588742</v>
      </c>
      <c r="L129" s="34">
        <f t="shared" si="128"/>
        <v>1586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617.91774130355532</v>
      </c>
      <c r="N129" s="57">
        <v>0</v>
      </c>
      <c r="O129" s="57">
        <v>0</v>
      </c>
      <c r="P129" s="61">
        <f t="shared" si="129"/>
        <v>1586</v>
      </c>
      <c r="Q129" s="40">
        <f t="shared" si="136"/>
        <v>0</v>
      </c>
      <c r="R129" s="40">
        <f t="shared" si="137"/>
        <v>0</v>
      </c>
      <c r="S129" s="44">
        <f t="shared" si="138"/>
        <v>980017.53770743869</v>
      </c>
      <c r="T129" s="35">
        <f t="shared" si="139"/>
        <v>1586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669.45392393851637</v>
      </c>
      <c r="V129" s="57">
        <v>0</v>
      </c>
      <c r="W129" s="57">
        <v>0</v>
      </c>
      <c r="X129" s="61">
        <f t="shared" si="130"/>
        <v>1586</v>
      </c>
      <c r="Y129" s="40">
        <f t="shared" si="140"/>
        <v>0</v>
      </c>
      <c r="Z129" s="40">
        <f t="shared" si="141"/>
        <v>0</v>
      </c>
      <c r="AA129" s="44">
        <f t="shared" si="142"/>
        <v>1061753.923366487</v>
      </c>
      <c r="AB129" s="35">
        <f t="shared" si="143"/>
        <v>1586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724.61040500923605</v>
      </c>
      <c r="AD129" s="57">
        <v>0</v>
      </c>
      <c r="AE129" s="57">
        <v>0</v>
      </c>
      <c r="AF129" s="61">
        <f t="shared" si="131"/>
        <v>1586</v>
      </c>
      <c r="AG129" s="40">
        <f t="shared" si="144"/>
        <v>0</v>
      </c>
      <c r="AH129" s="40">
        <f t="shared" si="145"/>
        <v>0</v>
      </c>
      <c r="AI129" s="44">
        <f t="shared" si="146"/>
        <v>1149232.1023446484</v>
      </c>
      <c r="AJ129" s="35">
        <f t="shared" si="132"/>
        <v>1586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782.84358020744628</v>
      </c>
      <c r="AL129" s="57">
        <v>0</v>
      </c>
      <c r="AM129" s="57">
        <v>0</v>
      </c>
      <c r="AN129" s="61">
        <f t="shared" si="133"/>
        <v>1586</v>
      </c>
      <c r="AO129" s="40">
        <f t="shared" si="147"/>
        <v>0</v>
      </c>
      <c r="AP129" s="40">
        <f t="shared" si="148"/>
        <v>0</v>
      </c>
      <c r="AQ129" s="44">
        <f t="shared" si="149"/>
        <v>1241589.9182090098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</v>
      </c>
      <c r="G130" s="35">
        <f>SUMIFS(WORKING!$AC$3:$AC$6802,WORKING!$A$3:$A$6802,Results!$D$3,WORKING!$B$3:$B$6802,Results!A130,WORKING!$C$3:$C$6802,Results!C130)/1000</f>
        <v>587.78902999999991</v>
      </c>
      <c r="H130" s="35">
        <f t="shared" si="134"/>
        <v>587.78902999999991</v>
      </c>
      <c r="I130" s="187" t="s">
        <v>754</v>
      </c>
      <c r="J130" s="212">
        <v>0</v>
      </c>
      <c r="K130" s="217">
        <f t="shared" si="135"/>
        <v>0</v>
      </c>
      <c r="L130" s="34">
        <f t="shared" si="128"/>
        <v>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1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1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1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1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1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1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453</v>
      </c>
      <c r="G131" s="35">
        <f>SUMIFS(WORKING!$AC$3:$AC$6802,WORKING!$A$3:$A$6802,Results!$D$3,WORKING!$B$3:$B$6802,Results!A131,WORKING!$C$3:$C$6802,Results!C131)/1000</f>
        <v>321546.26045</v>
      </c>
      <c r="H131" s="35">
        <f t="shared" si="134"/>
        <v>709.81514448123619</v>
      </c>
      <c r="I131" s="187">
        <v>451</v>
      </c>
      <c r="J131" s="212">
        <v>358820.50217391306</v>
      </c>
      <c r="K131" s="217">
        <f t="shared" si="135"/>
        <v>795.6108695652174</v>
      </c>
      <c r="L131" s="34">
        <f t="shared" si="128"/>
        <v>451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867.19954313244375</v>
      </c>
      <c r="N131" s="57">
        <v>0</v>
      </c>
      <c r="O131" s="57">
        <v>0</v>
      </c>
      <c r="P131" s="61">
        <f t="shared" si="129"/>
        <v>451</v>
      </c>
      <c r="Q131" s="40">
        <f t="shared" si="136"/>
        <v>0</v>
      </c>
      <c r="R131" s="40">
        <f t="shared" si="137"/>
        <v>0</v>
      </c>
      <c r="S131" s="44">
        <f t="shared" si="138"/>
        <v>391106.99395273213</v>
      </c>
      <c r="T131" s="35">
        <f t="shared" si="139"/>
        <v>451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939.95893248020411</v>
      </c>
      <c r="V131" s="57">
        <v>0</v>
      </c>
      <c r="W131" s="57">
        <v>0</v>
      </c>
      <c r="X131" s="61">
        <f t="shared" si="130"/>
        <v>451</v>
      </c>
      <c r="Y131" s="40">
        <f t="shared" si="140"/>
        <v>0</v>
      </c>
      <c r="Z131" s="40">
        <f t="shared" si="141"/>
        <v>0</v>
      </c>
      <c r="AA131" s="44">
        <f t="shared" si="142"/>
        <v>423921.47854857205</v>
      </c>
      <c r="AB131" s="35">
        <f t="shared" si="143"/>
        <v>451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1017.8707766874719</v>
      </c>
      <c r="AD131" s="57">
        <v>0</v>
      </c>
      <c r="AE131" s="57">
        <v>0</v>
      </c>
      <c r="AF131" s="61">
        <f t="shared" si="131"/>
        <v>451</v>
      </c>
      <c r="AG131" s="40">
        <f t="shared" si="144"/>
        <v>0</v>
      </c>
      <c r="AH131" s="40">
        <f t="shared" si="145"/>
        <v>0</v>
      </c>
      <c r="AI131" s="44">
        <f t="shared" si="146"/>
        <v>459059.72028604982</v>
      </c>
      <c r="AJ131" s="35">
        <f t="shared" si="132"/>
        <v>451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1100.1784314954723</v>
      </c>
      <c r="AL131" s="57">
        <v>0</v>
      </c>
      <c r="AM131" s="57">
        <v>0</v>
      </c>
      <c r="AN131" s="61">
        <f t="shared" si="133"/>
        <v>451</v>
      </c>
      <c r="AO131" s="40">
        <f t="shared" si="147"/>
        <v>0</v>
      </c>
      <c r="AP131" s="40">
        <f t="shared" si="148"/>
        <v>0</v>
      </c>
      <c r="AQ131" s="44">
        <f t="shared" si="149"/>
        <v>496180.47260445799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77</v>
      </c>
      <c r="G132" s="35">
        <f>SUMIFS(WORKING!$AC$3:$AC$6802,WORKING!$A$3:$A$6802,Results!$D$3,WORKING!$B$3:$B$6802,Results!A132,WORKING!$C$3:$C$6802,Results!C132)/1000</f>
        <v>68325.875479999973</v>
      </c>
      <c r="H132" s="35">
        <f t="shared" si="134"/>
        <v>887.34903220779188</v>
      </c>
      <c r="I132" s="187">
        <v>77</v>
      </c>
      <c r="J132" s="212">
        <v>69629.835820895532</v>
      </c>
      <c r="K132" s="217">
        <f t="shared" si="135"/>
        <v>904.2835820895524</v>
      </c>
      <c r="L132" s="34">
        <f t="shared" si="128"/>
        <v>77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946.22899663167732</v>
      </c>
      <c r="N132" s="57">
        <v>0</v>
      </c>
      <c r="O132" s="57">
        <v>0</v>
      </c>
      <c r="P132" s="61">
        <f t="shared" si="129"/>
        <v>77</v>
      </c>
      <c r="Q132" s="40">
        <f t="shared" si="136"/>
        <v>0</v>
      </c>
      <c r="R132" s="40">
        <f t="shared" si="137"/>
        <v>0</v>
      </c>
      <c r="S132" s="44">
        <f t="shared" si="138"/>
        <v>72859.63274063915</v>
      </c>
      <c r="T132" s="35">
        <f t="shared" si="139"/>
        <v>77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1015.999286570063</v>
      </c>
      <c r="V132" s="57">
        <v>0</v>
      </c>
      <c r="W132" s="57">
        <v>0</v>
      </c>
      <c r="X132" s="61">
        <f t="shared" si="130"/>
        <v>77</v>
      </c>
      <c r="Y132" s="40">
        <f t="shared" si="140"/>
        <v>0</v>
      </c>
      <c r="Z132" s="40">
        <f t="shared" si="141"/>
        <v>0</v>
      </c>
      <c r="AA132" s="44">
        <f t="shared" si="142"/>
        <v>78231.945065894848</v>
      </c>
      <c r="AB132" s="35">
        <f t="shared" si="143"/>
        <v>77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1089.884931591082</v>
      </c>
      <c r="AD132" s="57">
        <v>0</v>
      </c>
      <c r="AE132" s="57">
        <v>0</v>
      </c>
      <c r="AF132" s="61">
        <f t="shared" si="131"/>
        <v>77</v>
      </c>
      <c r="AG132" s="40">
        <f t="shared" si="144"/>
        <v>0</v>
      </c>
      <c r="AH132" s="40">
        <f t="shared" si="145"/>
        <v>0</v>
      </c>
      <c r="AI132" s="44">
        <f t="shared" si="146"/>
        <v>83921.139732513315</v>
      </c>
      <c r="AJ132" s="35">
        <f t="shared" si="132"/>
        <v>77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1166.9356844867982</v>
      </c>
      <c r="AL132" s="57">
        <v>0</v>
      </c>
      <c r="AM132" s="57">
        <v>0</v>
      </c>
      <c r="AN132" s="61">
        <f t="shared" si="133"/>
        <v>77</v>
      </c>
      <c r="AO132" s="40">
        <f t="shared" si="147"/>
        <v>0</v>
      </c>
      <c r="AP132" s="40">
        <f t="shared" si="148"/>
        <v>0</v>
      </c>
      <c r="AQ132" s="44">
        <f t="shared" si="149"/>
        <v>89854.047705483463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25</v>
      </c>
      <c r="G133" s="35">
        <f>SUMIFS(WORKING!$AC$3:$AC$6802,WORKING!$A$3:$A$6802,Results!$D$3,WORKING!$B$3:$B$6802,Results!A133,WORKING!$C$3:$C$6802,Results!C133)/1000</f>
        <v>28403.515100000001</v>
      </c>
      <c r="H133" s="35">
        <f t="shared" si="134"/>
        <v>1136.1406039999999</v>
      </c>
      <c r="I133" s="187">
        <v>29</v>
      </c>
      <c r="J133" s="212">
        <v>31784.852941176468</v>
      </c>
      <c r="K133" s="217">
        <f t="shared" si="135"/>
        <v>1096.0294117647059</v>
      </c>
      <c r="L133" s="34">
        <f t="shared" si="128"/>
        <v>29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1146.8031067047475</v>
      </c>
      <c r="N133" s="57">
        <v>0</v>
      </c>
      <c r="O133" s="57">
        <v>0</v>
      </c>
      <c r="P133" s="61">
        <f t="shared" si="129"/>
        <v>29</v>
      </c>
      <c r="Q133" s="40">
        <f t="shared" si="136"/>
        <v>0</v>
      </c>
      <c r="R133" s="40">
        <f t="shared" si="137"/>
        <v>0</v>
      </c>
      <c r="S133" s="44">
        <f t="shared" si="138"/>
        <v>33257.290094437674</v>
      </c>
      <c r="T133" s="35">
        <f t="shared" si="139"/>
        <v>29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1231.2919972411221</v>
      </c>
      <c r="V133" s="57">
        <v>0</v>
      </c>
      <c r="W133" s="57">
        <v>0</v>
      </c>
      <c r="X133" s="61">
        <f t="shared" si="130"/>
        <v>29</v>
      </c>
      <c r="Y133" s="40">
        <f t="shared" si="140"/>
        <v>0</v>
      </c>
      <c r="Z133" s="40">
        <f t="shared" si="141"/>
        <v>0</v>
      </c>
      <c r="AA133" s="44">
        <f t="shared" si="142"/>
        <v>35707.467919992538</v>
      </c>
      <c r="AB133" s="35">
        <f t="shared" si="143"/>
        <v>29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1320.7582971133186</v>
      </c>
      <c r="AD133" s="57">
        <v>0</v>
      </c>
      <c r="AE133" s="57">
        <v>0</v>
      </c>
      <c r="AF133" s="61">
        <f t="shared" si="131"/>
        <v>29</v>
      </c>
      <c r="AG133" s="40">
        <f t="shared" si="144"/>
        <v>0</v>
      </c>
      <c r="AH133" s="40">
        <f t="shared" si="145"/>
        <v>0</v>
      </c>
      <c r="AI133" s="44">
        <f t="shared" si="146"/>
        <v>38301.990616286239</v>
      </c>
      <c r="AJ133" s="35">
        <f t="shared" si="132"/>
        <v>29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1414.0496729500539</v>
      </c>
      <c r="AL133" s="57">
        <v>0</v>
      </c>
      <c r="AM133" s="57">
        <v>0</v>
      </c>
      <c r="AN133" s="61">
        <f t="shared" si="133"/>
        <v>29</v>
      </c>
      <c r="AO133" s="40">
        <f t="shared" si="147"/>
        <v>0</v>
      </c>
      <c r="AP133" s="40">
        <f t="shared" si="148"/>
        <v>0</v>
      </c>
      <c r="AQ133" s="44">
        <f t="shared" si="149"/>
        <v>41007.440515551563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3</v>
      </c>
      <c r="G134" s="35">
        <f>SUMIFS(WORKING!$AC$3:$AC$6802,WORKING!$A$3:$A$6802,Results!$D$3,WORKING!$B$3:$B$6802,Results!A134,WORKING!$C$3:$C$6802,Results!C134)/1000</f>
        <v>3350.1844900000001</v>
      </c>
      <c r="H134" s="35">
        <f t="shared" si="134"/>
        <v>1116.7281633333334</v>
      </c>
      <c r="I134" s="187">
        <v>4</v>
      </c>
      <c r="J134" s="212">
        <v>6097.333333333333</v>
      </c>
      <c r="K134" s="217">
        <f t="shared" si="135"/>
        <v>1524.3333333333333</v>
      </c>
      <c r="L134" s="34">
        <f t="shared" si="128"/>
        <v>4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1595.1059778443814</v>
      </c>
      <c r="N134" s="57">
        <v>0</v>
      </c>
      <c r="O134" s="57">
        <v>0</v>
      </c>
      <c r="P134" s="61">
        <f t="shared" si="129"/>
        <v>4</v>
      </c>
      <c r="Q134" s="40">
        <f t="shared" si="136"/>
        <v>0</v>
      </c>
      <c r="R134" s="40">
        <f t="shared" si="137"/>
        <v>0</v>
      </c>
      <c r="S134" s="44">
        <f t="shared" si="138"/>
        <v>6380.4239113775257</v>
      </c>
      <c r="T134" s="35">
        <f t="shared" si="139"/>
        <v>4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1712.7922227469919</v>
      </c>
      <c r="V134" s="57">
        <v>0</v>
      </c>
      <c r="W134" s="57">
        <v>0</v>
      </c>
      <c r="X134" s="61">
        <f t="shared" si="130"/>
        <v>4</v>
      </c>
      <c r="Y134" s="40">
        <f t="shared" si="140"/>
        <v>0</v>
      </c>
      <c r="Z134" s="40">
        <f t="shared" si="141"/>
        <v>0</v>
      </c>
      <c r="AA134" s="44">
        <f t="shared" si="142"/>
        <v>6851.1688909879676</v>
      </c>
      <c r="AB134" s="35">
        <f t="shared" si="143"/>
        <v>4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1837.4262512218136</v>
      </c>
      <c r="AD134" s="57">
        <v>0</v>
      </c>
      <c r="AE134" s="57">
        <v>0</v>
      </c>
      <c r="AF134" s="61">
        <f t="shared" si="131"/>
        <v>4</v>
      </c>
      <c r="AG134" s="40">
        <f t="shared" si="144"/>
        <v>0</v>
      </c>
      <c r="AH134" s="40">
        <f t="shared" si="145"/>
        <v>0</v>
      </c>
      <c r="AI134" s="44">
        <f t="shared" si="146"/>
        <v>7349.7050048872543</v>
      </c>
      <c r="AJ134" s="35">
        <f t="shared" si="132"/>
        <v>4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1967.4068473022558</v>
      </c>
      <c r="AL134" s="57">
        <v>0</v>
      </c>
      <c r="AM134" s="57">
        <v>0</v>
      </c>
      <c r="AN134" s="61">
        <f t="shared" si="133"/>
        <v>4</v>
      </c>
      <c r="AO134" s="40">
        <f t="shared" si="147"/>
        <v>0</v>
      </c>
      <c r="AP134" s="40">
        <f t="shared" si="148"/>
        <v>0</v>
      </c>
      <c r="AQ134" s="44">
        <f t="shared" si="149"/>
        <v>7869.627389209023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1</v>
      </c>
      <c r="G135" s="35">
        <f>SUMIFS(WORKING!$AC$3:$AC$6802,WORKING!$A$3:$A$6802,Results!$D$3,WORKING!$B$3:$B$6802,Results!A135,WORKING!$C$3:$C$6802,Results!C135)/1000</f>
        <v>821.59511000000009</v>
      </c>
      <c r="H135" s="35">
        <f t="shared" si="134"/>
        <v>821.59511000000009</v>
      </c>
      <c r="I135" s="187" t="s">
        <v>754</v>
      </c>
      <c r="J135" s="212" t="s">
        <v>754</v>
      </c>
      <c r="K135" s="217">
        <f t="shared" si="135"/>
        <v>821.59511000000009</v>
      </c>
      <c r="L135" s="34">
        <f t="shared" si="128"/>
        <v>1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859.74067339624014</v>
      </c>
      <c r="N135" s="57">
        <v>0</v>
      </c>
      <c r="O135" s="57">
        <v>0</v>
      </c>
      <c r="P135" s="61">
        <f t="shared" si="129"/>
        <v>1</v>
      </c>
      <c r="Q135" s="40">
        <f t="shared" si="136"/>
        <v>0</v>
      </c>
      <c r="R135" s="40">
        <f t="shared" si="137"/>
        <v>0</v>
      </c>
      <c r="S135" s="44">
        <f t="shared" si="138"/>
        <v>859.74067339624014</v>
      </c>
      <c r="T135" s="35">
        <f t="shared" si="139"/>
        <v>1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923.17204395279214</v>
      </c>
      <c r="V135" s="57">
        <v>0</v>
      </c>
      <c r="W135" s="57">
        <v>0</v>
      </c>
      <c r="X135" s="61">
        <f t="shared" si="130"/>
        <v>1</v>
      </c>
      <c r="Y135" s="40">
        <f t="shared" si="140"/>
        <v>0</v>
      </c>
      <c r="Z135" s="40">
        <f t="shared" si="141"/>
        <v>0</v>
      </c>
      <c r="AA135" s="44">
        <f t="shared" si="142"/>
        <v>923.17204395279214</v>
      </c>
      <c r="AB135" s="35">
        <f t="shared" si="143"/>
        <v>1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990.34818618578493</v>
      </c>
      <c r="AD135" s="57">
        <v>0</v>
      </c>
      <c r="AE135" s="57">
        <v>0</v>
      </c>
      <c r="AF135" s="61">
        <f t="shared" si="131"/>
        <v>1</v>
      </c>
      <c r="AG135" s="40">
        <f t="shared" si="144"/>
        <v>0</v>
      </c>
      <c r="AH135" s="40">
        <f t="shared" si="145"/>
        <v>0</v>
      </c>
      <c r="AI135" s="44">
        <f t="shared" si="146"/>
        <v>990.34818618578493</v>
      </c>
      <c r="AJ135" s="35">
        <f t="shared" si="132"/>
        <v>1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1060.4060668477343</v>
      </c>
      <c r="AL135" s="57">
        <v>0</v>
      </c>
      <c r="AM135" s="57">
        <v>0</v>
      </c>
      <c r="AN135" s="61">
        <f t="shared" si="133"/>
        <v>1</v>
      </c>
      <c r="AO135" s="40">
        <f t="shared" si="147"/>
        <v>0</v>
      </c>
      <c r="AP135" s="40">
        <f t="shared" si="148"/>
        <v>0</v>
      </c>
      <c r="AQ135" s="44">
        <f t="shared" si="149"/>
        <v>1060.4060668477343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38314</v>
      </c>
      <c r="G140" s="41">
        <f>SUM(G120:G139)</f>
        <v>11086702.023930002</v>
      </c>
      <c r="H140" s="41">
        <f>IFERROR(G140/F140,0)</f>
        <v>289.36425390014097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38766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12241438.668896414</v>
      </c>
      <c r="K140" s="41">
        <f>IFERROR(J140/I140,"")</f>
        <v>315.77770904649469</v>
      </c>
      <c r="L140" s="41">
        <f>SUM(L120:L139)</f>
        <v>38766</v>
      </c>
      <c r="M140" s="41">
        <f>IFERROR(S140/P140,0)</f>
        <v>343.84852807530643</v>
      </c>
      <c r="N140" s="41">
        <f t="shared" ref="N140:T140" si="151">SUM(N120:N139)</f>
        <v>1108</v>
      </c>
      <c r="O140" s="41">
        <f t="shared" si="151"/>
        <v>461</v>
      </c>
      <c r="P140" s="41">
        <f t="shared" si="151"/>
        <v>39413</v>
      </c>
      <c r="Q140" s="41">
        <f t="shared" si="151"/>
        <v>451241.93597008946</v>
      </c>
      <c r="R140" s="41">
        <f t="shared" si="151"/>
        <v>-193995.44430581233</v>
      </c>
      <c r="S140" s="45">
        <f t="shared" si="151"/>
        <v>13552102.037032053</v>
      </c>
      <c r="T140" s="41">
        <f t="shared" si="151"/>
        <v>39413</v>
      </c>
      <c r="U140" s="41">
        <f>IFERROR(AA140/X140,0)</f>
        <v>371.95281464283585</v>
      </c>
      <c r="V140" s="41">
        <f t="shared" ref="V140:AB140" si="152">SUM(V120:V139)</f>
        <v>0</v>
      </c>
      <c r="W140" s="41">
        <f t="shared" si="152"/>
        <v>188</v>
      </c>
      <c r="X140" s="41">
        <f t="shared" si="152"/>
        <v>39225</v>
      </c>
      <c r="Y140" s="41">
        <f t="shared" si="152"/>
        <v>0</v>
      </c>
      <c r="Z140" s="41">
        <f t="shared" si="152"/>
        <v>-85668.052282787277</v>
      </c>
      <c r="AA140" s="45">
        <f t="shared" si="152"/>
        <v>14589849.154365236</v>
      </c>
      <c r="AB140" s="41">
        <f t="shared" si="152"/>
        <v>39225</v>
      </c>
      <c r="AC140" s="41">
        <f>IFERROR(AI140/AF140,0)</f>
        <v>402.40942726981433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39225</v>
      </c>
      <c r="AG140" s="41">
        <f t="shared" si="153"/>
        <v>0</v>
      </c>
      <c r="AH140" s="41">
        <f t="shared" si="153"/>
        <v>0</v>
      </c>
      <c r="AI140" s="45">
        <f t="shared" si="153"/>
        <v>15784509.784658467</v>
      </c>
      <c r="AJ140" s="41">
        <f t="shared" si="153"/>
        <v>39225</v>
      </c>
      <c r="AK140" s="41">
        <f>IFERROR(AQ140/AN140,0)</f>
        <v>434.54545359787465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39225</v>
      </c>
      <c r="AO140" s="41">
        <f t="shared" si="154"/>
        <v>0</v>
      </c>
      <c r="AP140" s="41">
        <f t="shared" si="154"/>
        <v>0</v>
      </c>
      <c r="AQ140" s="45">
        <f t="shared" si="154"/>
        <v>17045045.417376634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13227372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14080413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15035440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16178133.440000001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-324730.03703205287</v>
      </c>
      <c r="T142" s="39"/>
      <c r="U142" s="39"/>
      <c r="V142" s="53"/>
      <c r="W142" s="53"/>
      <c r="X142" s="110"/>
      <c r="Y142" s="39"/>
      <c r="Z142" s="39"/>
      <c r="AA142" s="54">
        <f>AA141-AA140</f>
        <v>-509436.15436523594</v>
      </c>
      <c r="AB142" s="39"/>
      <c r="AC142" s="53"/>
      <c r="AD142" s="53"/>
      <c r="AE142" s="110"/>
      <c r="AF142" s="39"/>
      <c r="AG142" s="39"/>
      <c r="AH142" s="39"/>
      <c r="AI142" s="54">
        <f>AI141-AI140</f>
        <v>-749069.7846584674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-866911.97737663239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Crime Intelligence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543</v>
      </c>
      <c r="G148" s="35">
        <f>SUMIFS(WORKING!$AC$3:$AC$6802,WORKING!$A$3:$A$6802,Results!$D$3,WORKING!$B$3:$B$6802,Results!A148,WORKING!$C$3:$C$6802,Results!C148)/1000</f>
        <v>24143.910509999994</v>
      </c>
      <c r="H148" s="35">
        <f>IFERROR(G148/F148,0)</f>
        <v>44.46392359116021</v>
      </c>
      <c r="I148" s="156">
        <v>755</v>
      </c>
      <c r="J148" s="211">
        <v>82933.846153846156</v>
      </c>
      <c r="K148" s="217">
        <f>IFERROR(IF(J148="",G148,J148)/IF(I148="",F148,I148),"")</f>
        <v>109.84615384615385</v>
      </c>
      <c r="L148" s="34">
        <f t="shared" ref="L148:L167" si="155">IF(I148="",F148,I148)</f>
        <v>755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119.29768212104139</v>
      </c>
      <c r="N148" s="57">
        <v>0</v>
      </c>
      <c r="O148" s="57">
        <v>0</v>
      </c>
      <c r="P148" s="61">
        <f t="shared" ref="P148:P167" si="156">-O148+L148+N148</f>
        <v>755</v>
      </c>
      <c r="Q148" s="40">
        <f>M148*N148</f>
        <v>0</v>
      </c>
      <c r="R148" s="40">
        <f>-M148*O148</f>
        <v>0</v>
      </c>
      <c r="S148" s="44">
        <f>M148*P148</f>
        <v>90069.750001386245</v>
      </c>
      <c r="T148" s="35">
        <f>P148</f>
        <v>755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129.19013970702616</v>
      </c>
      <c r="V148" s="57">
        <v>0</v>
      </c>
      <c r="W148" s="57">
        <v>0</v>
      </c>
      <c r="X148" s="61">
        <f t="shared" ref="X148:X167" si="157">-W148+T148+V148</f>
        <v>755</v>
      </c>
      <c r="Y148" s="40">
        <f>U148*V148</f>
        <v>0</v>
      </c>
      <c r="Z148" s="40">
        <f>-U148*W148</f>
        <v>0</v>
      </c>
      <c r="AA148" s="44">
        <f>U148*X148</f>
        <v>97538.555478804759</v>
      </c>
      <c r="AB148" s="35">
        <f>X148</f>
        <v>755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139.77218680206047</v>
      </c>
      <c r="AD148" s="57">
        <v>0</v>
      </c>
      <c r="AE148" s="57">
        <v>0</v>
      </c>
      <c r="AF148" s="61">
        <f t="shared" ref="AF148:AF167" si="158">-AE148+AB148+AD148</f>
        <v>755</v>
      </c>
      <c r="AG148" s="40">
        <f>AC148*AD148</f>
        <v>0</v>
      </c>
      <c r="AH148" s="40">
        <f>-AC148*AE148</f>
        <v>0</v>
      </c>
      <c r="AI148" s="44">
        <f>AC148*AF148</f>
        <v>105528.00103555566</v>
      </c>
      <c r="AJ148" s="35">
        <f t="shared" ref="AJ148:AJ167" si="159">AF148</f>
        <v>755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150.93816698454461</v>
      </c>
      <c r="AL148" s="57">
        <v>0</v>
      </c>
      <c r="AM148" s="57">
        <v>0</v>
      </c>
      <c r="AN148" s="61">
        <f t="shared" ref="AN148:AN167" si="160">-AM148+AJ148+AL148</f>
        <v>755</v>
      </c>
      <c r="AO148" s="40">
        <f>AK148*AL148</f>
        <v>0</v>
      </c>
      <c r="AP148" s="40">
        <f>-AK148*AM148</f>
        <v>0</v>
      </c>
      <c r="AQ148" s="44">
        <f>AK148*AN148</f>
        <v>113958.31607333118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149</v>
      </c>
      <c r="G149" s="35">
        <f>SUMIFS(WORKING!$AC$3:$AC$6802,WORKING!$A$3:$A$6802,Results!$D$3,WORKING!$B$3:$B$6802,Results!A149,WORKING!$C$3:$C$6802,Results!C149)/1000</f>
        <v>10451.267600000001</v>
      </c>
      <c r="H149" s="35">
        <f t="shared" ref="H149:H167" si="161">IFERROR(G149/F149,0)</f>
        <v>70.14273557046981</v>
      </c>
      <c r="I149" s="187">
        <v>155</v>
      </c>
      <c r="J149" s="212">
        <v>19785.422535211266</v>
      </c>
      <c r="K149" s="217">
        <f t="shared" ref="K149:K167" si="162">IFERROR(IF(J149="",G149,J149)/IF(I149="",F149,I149),"")</f>
        <v>127.64788732394365</v>
      </c>
      <c r="L149" s="34">
        <f t="shared" si="155"/>
        <v>155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137.78893062463894</v>
      </c>
      <c r="N149" s="57">
        <v>0</v>
      </c>
      <c r="O149" s="57">
        <v>0</v>
      </c>
      <c r="P149" s="61">
        <f t="shared" si="156"/>
        <v>155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21357.284246819036</v>
      </c>
      <c r="T149" s="35">
        <f t="shared" ref="T149:T167" si="166">P149</f>
        <v>155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148.983299854866</v>
      </c>
      <c r="V149" s="57">
        <v>0</v>
      </c>
      <c r="W149" s="57">
        <v>1</v>
      </c>
      <c r="X149" s="61">
        <f t="shared" si="157"/>
        <v>154</v>
      </c>
      <c r="Y149" s="40">
        <f t="shared" ref="Y149:Y167" si="167">U149*V149</f>
        <v>0</v>
      </c>
      <c r="Z149" s="40">
        <f t="shared" ref="Z149:Z167" si="168">-U149*W149</f>
        <v>-148.983299854866</v>
      </c>
      <c r="AA149" s="44">
        <f t="shared" ref="AA149:AA167" si="169">U149*X149</f>
        <v>22943.428177649366</v>
      </c>
      <c r="AB149" s="35">
        <f t="shared" ref="AB149:AB167" si="170">X149</f>
        <v>154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160.93664062636464</v>
      </c>
      <c r="AD149" s="57">
        <v>0</v>
      </c>
      <c r="AE149" s="57">
        <v>0</v>
      </c>
      <c r="AF149" s="61">
        <f t="shared" si="158"/>
        <v>154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24784.242656460156</v>
      </c>
      <c r="AJ149" s="35">
        <f t="shared" si="159"/>
        <v>154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173.52389976480646</v>
      </c>
      <c r="AL149" s="57">
        <v>0</v>
      </c>
      <c r="AM149" s="57">
        <v>0</v>
      </c>
      <c r="AN149" s="61">
        <f t="shared" si="160"/>
        <v>154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26722.680563780195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70</v>
      </c>
      <c r="G150" s="35">
        <f>SUMIFS(WORKING!$AC$3:$AC$6802,WORKING!$A$3:$A$6802,Results!$D$3,WORKING!$B$3:$B$6802,Results!A150,WORKING!$C$3:$C$6802,Results!C150)/1000</f>
        <v>12020.153350000002</v>
      </c>
      <c r="H150" s="35">
        <f t="shared" si="161"/>
        <v>171.71647642857147</v>
      </c>
      <c r="I150" s="187">
        <v>73</v>
      </c>
      <c r="J150" s="212">
        <v>12145.838983050846</v>
      </c>
      <c r="K150" s="217">
        <f t="shared" si="162"/>
        <v>166.38135593220338</v>
      </c>
      <c r="L150" s="34">
        <f t="shared" si="155"/>
        <v>73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180.13278866739614</v>
      </c>
      <c r="N150" s="57">
        <v>0</v>
      </c>
      <c r="O150" s="57">
        <v>0</v>
      </c>
      <c r="P150" s="61">
        <f t="shared" si="156"/>
        <v>73</v>
      </c>
      <c r="Q150" s="40">
        <f t="shared" si="163"/>
        <v>0</v>
      </c>
      <c r="R150" s="40">
        <f t="shared" si="164"/>
        <v>0</v>
      </c>
      <c r="S150" s="44">
        <f t="shared" si="165"/>
        <v>13149.693572719918</v>
      </c>
      <c r="T150" s="35">
        <f t="shared" si="166"/>
        <v>73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194.91451749065601</v>
      </c>
      <c r="V150" s="57">
        <v>0</v>
      </c>
      <c r="W150" s="57">
        <v>0</v>
      </c>
      <c r="X150" s="61">
        <f t="shared" si="157"/>
        <v>73</v>
      </c>
      <c r="Y150" s="40">
        <f t="shared" si="167"/>
        <v>0</v>
      </c>
      <c r="Z150" s="40">
        <f t="shared" si="168"/>
        <v>0</v>
      </c>
      <c r="AA150" s="44">
        <f t="shared" si="169"/>
        <v>14228.759776817889</v>
      </c>
      <c r="AB150" s="35">
        <f t="shared" si="170"/>
        <v>73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210.71219211107376</v>
      </c>
      <c r="AD150" s="57">
        <v>0</v>
      </c>
      <c r="AE150" s="57">
        <v>0</v>
      </c>
      <c r="AF150" s="61">
        <f t="shared" si="158"/>
        <v>73</v>
      </c>
      <c r="AG150" s="40">
        <f t="shared" si="171"/>
        <v>0</v>
      </c>
      <c r="AH150" s="40">
        <f t="shared" si="172"/>
        <v>0</v>
      </c>
      <c r="AI150" s="44">
        <f t="shared" si="173"/>
        <v>15381.990024108385</v>
      </c>
      <c r="AJ150" s="35">
        <f t="shared" si="159"/>
        <v>73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227.36422454092477</v>
      </c>
      <c r="AL150" s="57">
        <v>0</v>
      </c>
      <c r="AM150" s="57">
        <v>0</v>
      </c>
      <c r="AN150" s="61">
        <f t="shared" si="160"/>
        <v>73</v>
      </c>
      <c r="AO150" s="40">
        <f t="shared" si="174"/>
        <v>0</v>
      </c>
      <c r="AP150" s="40">
        <f t="shared" si="175"/>
        <v>0</v>
      </c>
      <c r="AQ150" s="44">
        <f t="shared" si="176"/>
        <v>16597.588391487508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4</v>
      </c>
      <c r="G151" s="35">
        <f>SUMIFS(WORKING!$AC$3:$AC$6802,WORKING!$A$3:$A$6802,Results!$D$3,WORKING!$B$3:$B$6802,Results!A151,WORKING!$C$3:$C$6802,Results!C151)/1000</f>
        <v>571.74797999999998</v>
      </c>
      <c r="H151" s="35">
        <f t="shared" si="161"/>
        <v>142.936995</v>
      </c>
      <c r="I151" s="187">
        <v>5</v>
      </c>
      <c r="J151" s="212">
        <v>892.85714285714289</v>
      </c>
      <c r="K151" s="217">
        <f t="shared" si="162"/>
        <v>178.57142857142858</v>
      </c>
      <c r="L151" s="34">
        <f t="shared" si="155"/>
        <v>5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193.31669950126673</v>
      </c>
      <c r="N151" s="57">
        <v>0</v>
      </c>
      <c r="O151" s="57">
        <v>0</v>
      </c>
      <c r="P151" s="61">
        <f t="shared" si="156"/>
        <v>5</v>
      </c>
      <c r="Q151" s="40">
        <f t="shared" si="163"/>
        <v>0</v>
      </c>
      <c r="R151" s="40">
        <f t="shared" si="164"/>
        <v>0</v>
      </c>
      <c r="S151" s="44">
        <f t="shared" si="165"/>
        <v>966.58349750633363</v>
      </c>
      <c r="T151" s="35">
        <f t="shared" si="166"/>
        <v>5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209.18697718527113</v>
      </c>
      <c r="V151" s="57">
        <v>0</v>
      </c>
      <c r="W151" s="57">
        <v>0</v>
      </c>
      <c r="X151" s="61">
        <f t="shared" si="157"/>
        <v>5</v>
      </c>
      <c r="Y151" s="40">
        <f t="shared" si="167"/>
        <v>0</v>
      </c>
      <c r="Z151" s="40">
        <f t="shared" si="168"/>
        <v>0</v>
      </c>
      <c r="AA151" s="44">
        <f t="shared" si="169"/>
        <v>1045.9348859263557</v>
      </c>
      <c r="AB151" s="35">
        <f t="shared" si="170"/>
        <v>5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226.14877396673305</v>
      </c>
      <c r="AD151" s="57">
        <v>0</v>
      </c>
      <c r="AE151" s="57">
        <v>0</v>
      </c>
      <c r="AF151" s="61">
        <f t="shared" si="158"/>
        <v>5</v>
      </c>
      <c r="AG151" s="40">
        <f t="shared" si="171"/>
        <v>0</v>
      </c>
      <c r="AH151" s="40">
        <f t="shared" si="172"/>
        <v>0</v>
      </c>
      <c r="AI151" s="44">
        <f t="shared" si="173"/>
        <v>1130.7438698336653</v>
      </c>
      <c r="AJ151" s="35">
        <f t="shared" si="159"/>
        <v>5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244.02894034919512</v>
      </c>
      <c r="AL151" s="57">
        <v>0</v>
      </c>
      <c r="AM151" s="57">
        <v>0</v>
      </c>
      <c r="AN151" s="61">
        <f t="shared" si="160"/>
        <v>5</v>
      </c>
      <c r="AO151" s="40">
        <f t="shared" si="174"/>
        <v>0</v>
      </c>
      <c r="AP151" s="40">
        <f t="shared" si="175"/>
        <v>0</v>
      </c>
      <c r="AQ151" s="44">
        <f t="shared" si="176"/>
        <v>1220.1447017459757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3233</v>
      </c>
      <c r="G152" s="35">
        <f>SUMIFS(WORKING!$AC$3:$AC$6802,WORKING!$A$3:$A$6802,Results!$D$3,WORKING!$B$3:$B$6802,Results!A152,WORKING!$C$3:$C$6802,Results!C152)/1000</f>
        <v>667371.71234000009</v>
      </c>
      <c r="H152" s="35">
        <f t="shared" si="161"/>
        <v>206.42490329106096</v>
      </c>
      <c r="I152" s="187">
        <v>3228</v>
      </c>
      <c r="J152" s="212">
        <v>597028</v>
      </c>
      <c r="K152" s="217">
        <f t="shared" si="162"/>
        <v>184.95291201982653</v>
      </c>
      <c r="L152" s="34">
        <f t="shared" si="155"/>
        <v>3228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200.57939483200798</v>
      </c>
      <c r="N152" s="57">
        <v>0</v>
      </c>
      <c r="O152" s="57">
        <v>0</v>
      </c>
      <c r="P152" s="61">
        <f t="shared" si="156"/>
        <v>3228</v>
      </c>
      <c r="Q152" s="40">
        <f t="shared" si="163"/>
        <v>0</v>
      </c>
      <c r="R152" s="40">
        <f t="shared" si="164"/>
        <v>0</v>
      </c>
      <c r="S152" s="44">
        <f t="shared" si="165"/>
        <v>647470.28651772172</v>
      </c>
      <c r="T152" s="35">
        <f t="shared" si="166"/>
        <v>3228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217.12574093294694</v>
      </c>
      <c r="V152" s="57">
        <v>0</v>
      </c>
      <c r="W152" s="57">
        <v>0</v>
      </c>
      <c r="X152" s="61">
        <f t="shared" si="157"/>
        <v>3228</v>
      </c>
      <c r="Y152" s="40">
        <f t="shared" si="167"/>
        <v>0</v>
      </c>
      <c r="Z152" s="40">
        <f t="shared" si="168"/>
        <v>0</v>
      </c>
      <c r="AA152" s="44">
        <f t="shared" si="169"/>
        <v>700881.89173155266</v>
      </c>
      <c r="AB152" s="35">
        <f t="shared" si="170"/>
        <v>3228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234.81735427189926</v>
      </c>
      <c r="AD152" s="57">
        <v>0</v>
      </c>
      <c r="AE152" s="57">
        <v>0</v>
      </c>
      <c r="AF152" s="61">
        <f t="shared" si="158"/>
        <v>3228</v>
      </c>
      <c r="AG152" s="40">
        <f t="shared" si="171"/>
        <v>0</v>
      </c>
      <c r="AH152" s="40">
        <f t="shared" si="172"/>
        <v>0</v>
      </c>
      <c r="AI152" s="44">
        <f t="shared" si="173"/>
        <v>757990.41958969086</v>
      </c>
      <c r="AJ152" s="35">
        <f t="shared" si="159"/>
        <v>3228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253.47532395270596</v>
      </c>
      <c r="AL152" s="57">
        <v>0</v>
      </c>
      <c r="AM152" s="57">
        <v>0</v>
      </c>
      <c r="AN152" s="61">
        <f t="shared" si="160"/>
        <v>3228</v>
      </c>
      <c r="AO152" s="40">
        <f t="shared" si="174"/>
        <v>0</v>
      </c>
      <c r="AP152" s="40">
        <f t="shared" si="175"/>
        <v>0</v>
      </c>
      <c r="AQ152" s="44">
        <f t="shared" si="176"/>
        <v>818218.3457193349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1001</v>
      </c>
      <c r="G153" s="35">
        <f>SUMIFS(WORKING!$AC$3:$AC$6802,WORKING!$A$3:$A$6802,Results!$D$3,WORKING!$B$3:$B$6802,Results!A153,WORKING!$C$3:$C$6802,Results!C153)/1000</f>
        <v>258153.05343000006</v>
      </c>
      <c r="H153" s="35">
        <f t="shared" si="161"/>
        <v>257.89515827172835</v>
      </c>
      <c r="I153" s="187">
        <v>1035</v>
      </c>
      <c r="J153" s="212">
        <v>260734.70351758791</v>
      </c>
      <c r="K153" s="217">
        <f t="shared" si="162"/>
        <v>251.91758793969848</v>
      </c>
      <c r="L153" s="34">
        <f t="shared" si="155"/>
        <v>1035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273.53465571851245</v>
      </c>
      <c r="N153" s="57">
        <v>135</v>
      </c>
      <c r="O153" s="57">
        <v>0</v>
      </c>
      <c r="P153" s="61">
        <f t="shared" si="156"/>
        <v>1170</v>
      </c>
      <c r="Q153" s="40">
        <f t="shared" si="163"/>
        <v>36927.17852199918</v>
      </c>
      <c r="R153" s="40">
        <f t="shared" si="164"/>
        <v>0</v>
      </c>
      <c r="S153" s="44">
        <f t="shared" si="165"/>
        <v>320035.54719065956</v>
      </c>
      <c r="T153" s="35">
        <f t="shared" si="166"/>
        <v>1170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296.18756362832414</v>
      </c>
      <c r="V153" s="57">
        <v>0</v>
      </c>
      <c r="W153" s="57">
        <v>0</v>
      </c>
      <c r="X153" s="61">
        <f t="shared" si="157"/>
        <v>1170</v>
      </c>
      <c r="Y153" s="40">
        <f t="shared" si="167"/>
        <v>0</v>
      </c>
      <c r="Z153" s="40">
        <f t="shared" si="168"/>
        <v>0</v>
      </c>
      <c r="AA153" s="44">
        <f t="shared" si="169"/>
        <v>346539.44944513927</v>
      </c>
      <c r="AB153" s="35">
        <f t="shared" si="170"/>
        <v>1170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320.41666014145727</v>
      </c>
      <c r="AD153" s="57">
        <v>0</v>
      </c>
      <c r="AE153" s="57">
        <v>0</v>
      </c>
      <c r="AF153" s="61">
        <f t="shared" si="158"/>
        <v>1170</v>
      </c>
      <c r="AG153" s="40">
        <f t="shared" si="171"/>
        <v>0</v>
      </c>
      <c r="AH153" s="40">
        <f t="shared" si="172"/>
        <v>0</v>
      </c>
      <c r="AI153" s="44">
        <f t="shared" si="173"/>
        <v>374887.49236550502</v>
      </c>
      <c r="AJ153" s="35">
        <f t="shared" si="159"/>
        <v>1170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345.97907541466697</v>
      </c>
      <c r="AL153" s="57">
        <v>0</v>
      </c>
      <c r="AM153" s="57">
        <v>0</v>
      </c>
      <c r="AN153" s="61">
        <f t="shared" si="160"/>
        <v>1170</v>
      </c>
      <c r="AO153" s="40">
        <f t="shared" si="174"/>
        <v>0</v>
      </c>
      <c r="AP153" s="40">
        <f t="shared" si="175"/>
        <v>0</v>
      </c>
      <c r="AQ153" s="44">
        <f t="shared" si="176"/>
        <v>404795.51823516033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1824</v>
      </c>
      <c r="G154" s="35">
        <f>SUMIFS(WORKING!$AC$3:$AC$6802,WORKING!$A$3:$A$6802,Results!$D$3,WORKING!$B$3:$B$6802,Results!A154,WORKING!$C$3:$C$6802,Results!C154)/1000</f>
        <v>582763.95156000031</v>
      </c>
      <c r="H154" s="35">
        <f t="shared" si="161"/>
        <v>319.49778046052649</v>
      </c>
      <c r="I154" s="187">
        <v>1873</v>
      </c>
      <c r="J154" s="212">
        <v>729222</v>
      </c>
      <c r="K154" s="217">
        <f t="shared" si="162"/>
        <v>389.33368926855314</v>
      </c>
      <c r="L154" s="34">
        <f t="shared" si="155"/>
        <v>1873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423.12576770492745</v>
      </c>
      <c r="N154" s="57">
        <v>0</v>
      </c>
      <c r="O154" s="57">
        <v>0</v>
      </c>
      <c r="P154" s="61">
        <f t="shared" si="156"/>
        <v>1873</v>
      </c>
      <c r="Q154" s="40">
        <f t="shared" si="163"/>
        <v>0</v>
      </c>
      <c r="R154" s="40">
        <f t="shared" si="164"/>
        <v>0</v>
      </c>
      <c r="S154" s="44">
        <f t="shared" si="165"/>
        <v>792514.56291132909</v>
      </c>
      <c r="T154" s="35">
        <f t="shared" si="166"/>
        <v>1873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458.27364804520516</v>
      </c>
      <c r="V154" s="57">
        <v>0</v>
      </c>
      <c r="W154" s="57">
        <v>0</v>
      </c>
      <c r="X154" s="61">
        <f t="shared" si="157"/>
        <v>1873</v>
      </c>
      <c r="Y154" s="40">
        <f t="shared" si="167"/>
        <v>0</v>
      </c>
      <c r="Z154" s="40">
        <f t="shared" si="168"/>
        <v>0</v>
      </c>
      <c r="AA154" s="44">
        <f t="shared" si="169"/>
        <v>858346.54278866923</v>
      </c>
      <c r="AB154" s="35">
        <f t="shared" si="170"/>
        <v>1873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495.87715692118593</v>
      </c>
      <c r="AD154" s="57">
        <v>0</v>
      </c>
      <c r="AE154" s="57">
        <v>0</v>
      </c>
      <c r="AF154" s="61">
        <f t="shared" si="158"/>
        <v>1873</v>
      </c>
      <c r="AG154" s="40">
        <f t="shared" si="171"/>
        <v>0</v>
      </c>
      <c r="AH154" s="40">
        <f t="shared" si="172"/>
        <v>0</v>
      </c>
      <c r="AI154" s="44">
        <f t="shared" si="173"/>
        <v>928777.91491338122</v>
      </c>
      <c r="AJ154" s="35">
        <f t="shared" si="159"/>
        <v>1873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535.56204632201855</v>
      </c>
      <c r="AL154" s="57">
        <v>0</v>
      </c>
      <c r="AM154" s="57">
        <v>0</v>
      </c>
      <c r="AN154" s="61">
        <f t="shared" si="160"/>
        <v>1873</v>
      </c>
      <c r="AO154" s="40">
        <f t="shared" si="174"/>
        <v>0</v>
      </c>
      <c r="AP154" s="40">
        <f t="shared" si="175"/>
        <v>0</v>
      </c>
      <c r="AQ154" s="44">
        <f t="shared" si="176"/>
        <v>1003107.7127611408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1151</v>
      </c>
      <c r="G155" s="35">
        <f>SUMIFS(WORKING!$AC$3:$AC$6802,WORKING!$A$3:$A$6802,Results!$D$3,WORKING!$B$3:$B$6802,Results!A155,WORKING!$C$3:$C$6802,Results!C155)/1000</f>
        <v>458857.84517000016</v>
      </c>
      <c r="H155" s="35">
        <f t="shared" si="161"/>
        <v>398.66016087749796</v>
      </c>
      <c r="I155" s="187">
        <v>1173</v>
      </c>
      <c r="J155" s="212">
        <v>535834.70092670596</v>
      </c>
      <c r="K155" s="217">
        <f t="shared" si="162"/>
        <v>456.80707666385842</v>
      </c>
      <c r="L155" s="34">
        <f t="shared" si="155"/>
        <v>1173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496.78723351171408</v>
      </c>
      <c r="N155" s="57">
        <v>0</v>
      </c>
      <c r="O155" s="57">
        <v>0</v>
      </c>
      <c r="P155" s="61">
        <f t="shared" si="156"/>
        <v>1173</v>
      </c>
      <c r="Q155" s="40">
        <f t="shared" si="163"/>
        <v>0</v>
      </c>
      <c r="R155" s="40">
        <f t="shared" si="164"/>
        <v>0</v>
      </c>
      <c r="S155" s="44">
        <f t="shared" si="165"/>
        <v>582731.42490924057</v>
      </c>
      <c r="T155" s="35">
        <f t="shared" si="166"/>
        <v>1173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538.1481203783552</v>
      </c>
      <c r="V155" s="57">
        <v>0</v>
      </c>
      <c r="W155" s="57">
        <v>0</v>
      </c>
      <c r="X155" s="61">
        <f t="shared" si="157"/>
        <v>1173</v>
      </c>
      <c r="Y155" s="40">
        <f t="shared" si="167"/>
        <v>0</v>
      </c>
      <c r="Z155" s="40">
        <f t="shared" si="168"/>
        <v>0</v>
      </c>
      <c r="AA155" s="44">
        <f t="shared" si="169"/>
        <v>631247.74520381063</v>
      </c>
      <c r="AB155" s="35">
        <f t="shared" si="170"/>
        <v>1173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582.40762640327705</v>
      </c>
      <c r="AD155" s="57">
        <v>0</v>
      </c>
      <c r="AE155" s="57">
        <v>0</v>
      </c>
      <c r="AF155" s="61">
        <f t="shared" si="158"/>
        <v>1173</v>
      </c>
      <c r="AG155" s="40">
        <f t="shared" si="171"/>
        <v>0</v>
      </c>
      <c r="AH155" s="40">
        <f t="shared" si="172"/>
        <v>0</v>
      </c>
      <c r="AI155" s="44">
        <f t="shared" si="173"/>
        <v>683164.14577104396</v>
      </c>
      <c r="AJ155" s="35">
        <f t="shared" si="159"/>
        <v>1173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629.12766998039456</v>
      </c>
      <c r="AL155" s="57">
        <v>0</v>
      </c>
      <c r="AM155" s="57">
        <v>0</v>
      </c>
      <c r="AN155" s="61">
        <f t="shared" si="160"/>
        <v>1173</v>
      </c>
      <c r="AO155" s="40">
        <f t="shared" si="174"/>
        <v>0</v>
      </c>
      <c r="AP155" s="40">
        <f t="shared" si="175"/>
        <v>0</v>
      </c>
      <c r="AQ155" s="44">
        <f t="shared" si="176"/>
        <v>737966.75688700285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537</v>
      </c>
      <c r="G157" s="35">
        <f>SUMIFS(WORKING!$AC$3:$AC$6802,WORKING!$A$3:$A$6802,Results!$D$3,WORKING!$B$3:$B$6802,Results!A157,WORKING!$C$3:$C$6802,Results!C157)/1000</f>
        <v>262363.34486000001</v>
      </c>
      <c r="H157" s="35">
        <f t="shared" si="161"/>
        <v>488.57233679702051</v>
      </c>
      <c r="I157" s="187">
        <v>546</v>
      </c>
      <c r="J157" s="212">
        <v>325391.27547169809</v>
      </c>
      <c r="K157" s="217">
        <f t="shared" si="162"/>
        <v>595.95471698113204</v>
      </c>
      <c r="L157" s="34">
        <f t="shared" si="155"/>
        <v>546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648.41967340916733</v>
      </c>
      <c r="N157" s="57">
        <v>0</v>
      </c>
      <c r="O157" s="57">
        <v>0</v>
      </c>
      <c r="P157" s="61">
        <f t="shared" si="156"/>
        <v>546</v>
      </c>
      <c r="Q157" s="40">
        <f t="shared" si="163"/>
        <v>0</v>
      </c>
      <c r="R157" s="40">
        <f t="shared" si="164"/>
        <v>0</v>
      </c>
      <c r="S157" s="44">
        <f t="shared" si="165"/>
        <v>354037.14168140537</v>
      </c>
      <c r="T157" s="35">
        <f t="shared" si="166"/>
        <v>546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702.49328734521418</v>
      </c>
      <c r="V157" s="57">
        <v>0</v>
      </c>
      <c r="W157" s="57">
        <v>0</v>
      </c>
      <c r="X157" s="61">
        <f t="shared" si="157"/>
        <v>546</v>
      </c>
      <c r="Y157" s="40">
        <f t="shared" si="167"/>
        <v>0</v>
      </c>
      <c r="Z157" s="40">
        <f t="shared" si="168"/>
        <v>0</v>
      </c>
      <c r="AA157" s="44">
        <f t="shared" si="169"/>
        <v>383561.33489048696</v>
      </c>
      <c r="AB157" s="35">
        <f t="shared" si="170"/>
        <v>546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760.36482929420777</v>
      </c>
      <c r="AD157" s="57">
        <v>0</v>
      </c>
      <c r="AE157" s="57">
        <v>0</v>
      </c>
      <c r="AF157" s="61">
        <f t="shared" si="158"/>
        <v>546</v>
      </c>
      <c r="AG157" s="40">
        <f t="shared" si="171"/>
        <v>0</v>
      </c>
      <c r="AH157" s="40">
        <f t="shared" si="172"/>
        <v>0</v>
      </c>
      <c r="AI157" s="44">
        <f t="shared" si="173"/>
        <v>415159.19679463742</v>
      </c>
      <c r="AJ157" s="35">
        <f t="shared" si="159"/>
        <v>546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821.46376773212478</v>
      </c>
      <c r="AL157" s="57">
        <v>0</v>
      </c>
      <c r="AM157" s="57">
        <v>0</v>
      </c>
      <c r="AN157" s="61">
        <f t="shared" si="160"/>
        <v>546</v>
      </c>
      <c r="AO157" s="40">
        <f t="shared" si="174"/>
        <v>0</v>
      </c>
      <c r="AP157" s="40">
        <f t="shared" si="175"/>
        <v>0</v>
      </c>
      <c r="AQ157" s="44">
        <f t="shared" si="176"/>
        <v>448519.21718174015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251</v>
      </c>
      <c r="G159" s="35">
        <f>SUMIFS(WORKING!$AC$3:$AC$6802,WORKING!$A$3:$A$6802,Results!$D$3,WORKING!$B$3:$B$6802,Results!A159,WORKING!$C$3:$C$6802,Results!C159)/1000</f>
        <v>173275.56470000022</v>
      </c>
      <c r="H159" s="35">
        <f t="shared" si="161"/>
        <v>690.34089521912438</v>
      </c>
      <c r="I159" s="187">
        <v>258</v>
      </c>
      <c r="J159" s="212">
        <v>210304.4</v>
      </c>
      <c r="K159" s="217">
        <f t="shared" si="162"/>
        <v>815.13333333333333</v>
      </c>
      <c r="L159" s="34">
        <f t="shared" si="155"/>
        <v>258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888.46357096638485</v>
      </c>
      <c r="N159" s="57">
        <v>0</v>
      </c>
      <c r="O159" s="57">
        <v>0</v>
      </c>
      <c r="P159" s="61">
        <f t="shared" si="156"/>
        <v>258</v>
      </c>
      <c r="Q159" s="40">
        <f t="shared" si="163"/>
        <v>0</v>
      </c>
      <c r="R159" s="40">
        <f t="shared" si="164"/>
        <v>0</v>
      </c>
      <c r="S159" s="44">
        <f t="shared" si="165"/>
        <v>229223.60130932729</v>
      </c>
      <c r="T159" s="35">
        <f t="shared" si="166"/>
        <v>258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962.99072462249615</v>
      </c>
      <c r="V159" s="57">
        <v>0</v>
      </c>
      <c r="W159" s="57">
        <v>0</v>
      </c>
      <c r="X159" s="61">
        <f t="shared" si="157"/>
        <v>258</v>
      </c>
      <c r="Y159" s="40">
        <f t="shared" si="167"/>
        <v>0</v>
      </c>
      <c r="Z159" s="40">
        <f t="shared" si="168"/>
        <v>0</v>
      </c>
      <c r="AA159" s="44">
        <f t="shared" si="169"/>
        <v>248451.60695260399</v>
      </c>
      <c r="AB159" s="35">
        <f t="shared" si="170"/>
        <v>258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1042.7939677896065</v>
      </c>
      <c r="AD159" s="57">
        <v>0</v>
      </c>
      <c r="AE159" s="57">
        <v>0</v>
      </c>
      <c r="AF159" s="61">
        <f t="shared" si="158"/>
        <v>258</v>
      </c>
      <c r="AG159" s="40">
        <f t="shared" si="171"/>
        <v>0</v>
      </c>
      <c r="AH159" s="40">
        <f t="shared" si="172"/>
        <v>0</v>
      </c>
      <c r="AI159" s="44">
        <f t="shared" si="173"/>
        <v>269040.84368971852</v>
      </c>
      <c r="AJ159" s="35">
        <f t="shared" si="159"/>
        <v>258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1127.0978741312472</v>
      </c>
      <c r="AL159" s="57">
        <v>0</v>
      </c>
      <c r="AM159" s="57">
        <v>0</v>
      </c>
      <c r="AN159" s="61">
        <f t="shared" si="160"/>
        <v>258</v>
      </c>
      <c r="AO159" s="40">
        <f t="shared" si="174"/>
        <v>0</v>
      </c>
      <c r="AP159" s="40">
        <f t="shared" si="175"/>
        <v>0</v>
      </c>
      <c r="AQ159" s="44">
        <f t="shared" si="176"/>
        <v>290791.25152586179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31</v>
      </c>
      <c r="G160" s="35">
        <f>SUMIFS(WORKING!$AC$3:$AC$6802,WORKING!$A$3:$A$6802,Results!$D$3,WORKING!$B$3:$B$6802,Results!A160,WORKING!$C$3:$C$6802,Results!C160)/1000</f>
        <v>29757.707839999995</v>
      </c>
      <c r="H160" s="35">
        <f t="shared" si="161"/>
        <v>959.92605935483857</v>
      </c>
      <c r="I160" s="187">
        <v>30</v>
      </c>
      <c r="J160" s="212">
        <v>27127.5</v>
      </c>
      <c r="K160" s="217">
        <f t="shared" si="162"/>
        <v>904.25</v>
      </c>
      <c r="L160" s="34">
        <f t="shared" si="155"/>
        <v>30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946.12077641239625</v>
      </c>
      <c r="N160" s="57">
        <v>0</v>
      </c>
      <c r="O160" s="57">
        <v>0</v>
      </c>
      <c r="P160" s="61">
        <f t="shared" si="156"/>
        <v>30</v>
      </c>
      <c r="Q160" s="40">
        <f t="shared" si="163"/>
        <v>0</v>
      </c>
      <c r="R160" s="40">
        <f t="shared" si="164"/>
        <v>0</v>
      </c>
      <c r="S160" s="44">
        <f t="shared" si="165"/>
        <v>28383.623292371889</v>
      </c>
      <c r="T160" s="35">
        <f t="shared" si="166"/>
        <v>30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1015.8046237745735</v>
      </c>
      <c r="V160" s="57">
        <v>0</v>
      </c>
      <c r="W160" s="57">
        <v>0</v>
      </c>
      <c r="X160" s="61">
        <f t="shared" si="157"/>
        <v>30</v>
      </c>
      <c r="Y160" s="40">
        <f t="shared" si="167"/>
        <v>0</v>
      </c>
      <c r="Z160" s="40">
        <f t="shared" si="168"/>
        <v>0</v>
      </c>
      <c r="AA160" s="44">
        <f t="shared" si="169"/>
        <v>30474.138713237207</v>
      </c>
      <c r="AB160" s="35">
        <f t="shared" si="170"/>
        <v>30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1089.5919500597581</v>
      </c>
      <c r="AD160" s="57">
        <v>0</v>
      </c>
      <c r="AE160" s="57">
        <v>0</v>
      </c>
      <c r="AF160" s="61">
        <f t="shared" si="158"/>
        <v>30</v>
      </c>
      <c r="AG160" s="40">
        <f t="shared" si="171"/>
        <v>0</v>
      </c>
      <c r="AH160" s="40">
        <f t="shared" si="172"/>
        <v>0</v>
      </c>
      <c r="AI160" s="44">
        <f t="shared" si="173"/>
        <v>32687.758501792745</v>
      </c>
      <c r="AJ160" s="35">
        <f t="shared" si="159"/>
        <v>30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1166.5318848192021</v>
      </c>
      <c r="AL160" s="57">
        <v>0</v>
      </c>
      <c r="AM160" s="57">
        <v>0</v>
      </c>
      <c r="AN160" s="61">
        <f t="shared" si="160"/>
        <v>30</v>
      </c>
      <c r="AO160" s="40">
        <f t="shared" si="174"/>
        <v>0</v>
      </c>
      <c r="AP160" s="40">
        <f t="shared" si="175"/>
        <v>0</v>
      </c>
      <c r="AQ160" s="44">
        <f t="shared" si="176"/>
        <v>34995.95654457606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13</v>
      </c>
      <c r="G161" s="35">
        <f>SUMIFS(WORKING!$AC$3:$AC$6802,WORKING!$A$3:$A$6802,Results!$D$3,WORKING!$B$3:$B$6802,Results!A161,WORKING!$C$3:$C$6802,Results!C161)/1000</f>
        <v>12901.579770000004</v>
      </c>
      <c r="H161" s="35">
        <f t="shared" si="161"/>
        <v>992.42921307692336</v>
      </c>
      <c r="I161" s="187">
        <v>14</v>
      </c>
      <c r="J161" s="212">
        <v>16408</v>
      </c>
      <c r="K161" s="217">
        <f t="shared" si="162"/>
        <v>1172</v>
      </c>
      <c r="L161" s="34">
        <f t="shared" si="155"/>
        <v>14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1226.3049037712392</v>
      </c>
      <c r="N161" s="57">
        <v>0</v>
      </c>
      <c r="O161" s="57">
        <v>0</v>
      </c>
      <c r="P161" s="61">
        <f t="shared" si="156"/>
        <v>14</v>
      </c>
      <c r="Q161" s="40">
        <f t="shared" si="163"/>
        <v>0</v>
      </c>
      <c r="R161" s="40">
        <f t="shared" si="164"/>
        <v>0</v>
      </c>
      <c r="S161" s="44">
        <f t="shared" si="165"/>
        <v>17168.268652797349</v>
      </c>
      <c r="T161" s="35">
        <f t="shared" si="166"/>
        <v>14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1316.6636986561159</v>
      </c>
      <c r="V161" s="57">
        <v>0</v>
      </c>
      <c r="W161" s="57">
        <v>0</v>
      </c>
      <c r="X161" s="61">
        <f t="shared" si="157"/>
        <v>14</v>
      </c>
      <c r="Y161" s="40">
        <f t="shared" si="167"/>
        <v>0</v>
      </c>
      <c r="Z161" s="40">
        <f t="shared" si="168"/>
        <v>0</v>
      </c>
      <c r="AA161" s="44">
        <f t="shared" si="169"/>
        <v>18433.291781185624</v>
      </c>
      <c r="AB161" s="35">
        <f t="shared" si="170"/>
        <v>14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1412.3468113236463</v>
      </c>
      <c r="AD161" s="57">
        <v>0</v>
      </c>
      <c r="AE161" s="57">
        <v>0</v>
      </c>
      <c r="AF161" s="61">
        <f t="shared" si="158"/>
        <v>14</v>
      </c>
      <c r="AG161" s="40">
        <f t="shared" si="171"/>
        <v>0</v>
      </c>
      <c r="AH161" s="40">
        <f t="shared" si="172"/>
        <v>0</v>
      </c>
      <c r="AI161" s="44">
        <f t="shared" si="173"/>
        <v>19772.855358531047</v>
      </c>
      <c r="AJ161" s="35">
        <f t="shared" si="159"/>
        <v>14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1512.1221419465792</v>
      </c>
      <c r="AL161" s="57">
        <v>0</v>
      </c>
      <c r="AM161" s="57">
        <v>0</v>
      </c>
      <c r="AN161" s="61">
        <f t="shared" si="160"/>
        <v>14</v>
      </c>
      <c r="AO161" s="40">
        <f t="shared" si="174"/>
        <v>0</v>
      </c>
      <c r="AP161" s="40">
        <f t="shared" si="175"/>
        <v>0</v>
      </c>
      <c r="AQ161" s="44">
        <f t="shared" si="176"/>
        <v>21169.709987252107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1497.886</v>
      </c>
      <c r="H162" s="35">
        <f t="shared" si="161"/>
        <v>1497.886</v>
      </c>
      <c r="I162" s="187">
        <v>1</v>
      </c>
      <c r="J162" s="212">
        <v>1524</v>
      </c>
      <c r="K162" s="217">
        <f t="shared" si="162"/>
        <v>1524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1594.7571221349269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1594.7571221349269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1712.4175790235097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1712.4175790235097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1837.0242927611789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1837.0242927611789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1966.9763971089644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1966.9763971089644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8808</v>
      </c>
      <c r="G168" s="41">
        <f>SUM(G148:G167)</f>
        <v>2494129.7251100009</v>
      </c>
      <c r="H168" s="41">
        <f>IFERROR(G168/F168,0)</f>
        <v>283.16640839123534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9146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2819332.5447309571</v>
      </c>
      <c r="K168" s="41">
        <f>IFERROR(J168/I168,"")</f>
        <v>308.2585332091578</v>
      </c>
      <c r="L168" s="41">
        <f>SUM(L148:L167)</f>
        <v>9146</v>
      </c>
      <c r="M168" s="41">
        <f>IFERROR(S168/P168,0)</f>
        <v>333.8759320014459</v>
      </c>
      <c r="N168" s="41">
        <f t="shared" ref="N168:T168" si="177">SUM(N148:N167)</f>
        <v>135</v>
      </c>
      <c r="O168" s="41">
        <f t="shared" si="177"/>
        <v>0</v>
      </c>
      <c r="P168" s="41">
        <f t="shared" si="177"/>
        <v>9281</v>
      </c>
      <c r="Q168" s="41">
        <f t="shared" si="177"/>
        <v>36927.17852199918</v>
      </c>
      <c r="R168" s="41">
        <f t="shared" si="177"/>
        <v>0</v>
      </c>
      <c r="S168" s="45">
        <f t="shared" si="177"/>
        <v>3098702.5249054194</v>
      </c>
      <c r="T168" s="41">
        <f t="shared" si="177"/>
        <v>9281</v>
      </c>
      <c r="U168" s="41">
        <f>IFERROR(AA168/X168,0)</f>
        <v>361.57382515139096</v>
      </c>
      <c r="V168" s="41">
        <f t="shared" ref="V168:AB168" si="178">SUM(V148:V167)</f>
        <v>0</v>
      </c>
      <c r="W168" s="41">
        <f t="shared" si="178"/>
        <v>1</v>
      </c>
      <c r="X168" s="41">
        <f t="shared" si="178"/>
        <v>9280</v>
      </c>
      <c r="Y168" s="41">
        <f t="shared" si="178"/>
        <v>0</v>
      </c>
      <c r="Z168" s="41">
        <f t="shared" si="178"/>
        <v>-148.983299854866</v>
      </c>
      <c r="AA168" s="45">
        <f t="shared" si="178"/>
        <v>3355405.0974049079</v>
      </c>
      <c r="AB168" s="41">
        <f t="shared" si="178"/>
        <v>9280</v>
      </c>
      <c r="AC168" s="41">
        <f>IFERROR(AI168/AF168,0)</f>
        <v>391.1791625929979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9280</v>
      </c>
      <c r="AG168" s="41">
        <f t="shared" si="179"/>
        <v>0</v>
      </c>
      <c r="AH168" s="41">
        <f t="shared" si="179"/>
        <v>0</v>
      </c>
      <c r="AI168" s="45">
        <f t="shared" si="179"/>
        <v>3630142.6288630203</v>
      </c>
      <c r="AJ168" s="41">
        <f t="shared" si="179"/>
        <v>9280</v>
      </c>
      <c r="AK168" s="41">
        <f>IFERROR(AQ168/AN168,0)</f>
        <v>422.41704471654339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9280</v>
      </c>
      <c r="AO168" s="41">
        <f t="shared" si="180"/>
        <v>0</v>
      </c>
      <c r="AP168" s="41">
        <f t="shared" si="180"/>
        <v>0</v>
      </c>
      <c r="AQ168" s="45">
        <f t="shared" si="180"/>
        <v>3920030.1749695227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3053973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3227664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3427826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3688340.7760000001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-44729.524905419443</v>
      </c>
      <c r="T170" s="39"/>
      <c r="U170" s="39"/>
      <c r="V170" s="53"/>
      <c r="W170" s="53"/>
      <c r="X170" s="110"/>
      <c r="Y170" s="39"/>
      <c r="Z170" s="39"/>
      <c r="AA170" s="54">
        <f>AA169-AA168</f>
        <v>-127741.09740490792</v>
      </c>
      <c r="AB170" s="39"/>
      <c r="AC170" s="53"/>
      <c r="AD170" s="53"/>
      <c r="AE170" s="110"/>
      <c r="AF170" s="39"/>
      <c r="AG170" s="39"/>
      <c r="AH170" s="39"/>
      <c r="AI170" s="54">
        <f>AI169-AI168</f>
        <v>-202316.62886302033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-231689.39896952268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Protection and Security Services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211</v>
      </c>
      <c r="G176" s="35">
        <f>SUMIFS(WORKING!$AC$3:$AC$6802,WORKING!$A$3:$A$6802,Results!$D$3,WORKING!$B$3:$B$6802,Results!A176,WORKING!$C$3:$C$6802,Results!C176)/1000</f>
        <v>8928.1063900000008</v>
      </c>
      <c r="H176" s="35">
        <f>IFERROR(G176/F176,0)</f>
        <v>42.313300426540287</v>
      </c>
      <c r="I176" s="156">
        <v>456</v>
      </c>
      <c r="J176" s="211">
        <v>59863.68</v>
      </c>
      <c r="K176" s="217">
        <f>IFERROR(IF(J176="",G176,J176)/IF(I176="",F176,I176),"")</f>
        <v>131.28</v>
      </c>
      <c r="L176" s="34">
        <f t="shared" ref="L176:L195" si="181">IF(I176="",F176,I176)</f>
        <v>456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142.47086981638307</v>
      </c>
      <c r="N176" s="57">
        <v>0</v>
      </c>
      <c r="O176" s="57">
        <v>0</v>
      </c>
      <c r="P176" s="61">
        <f t="shared" ref="P176:P195" si="182">-O176+L176+N176</f>
        <v>456</v>
      </c>
      <c r="Q176" s="40">
        <f>M176*N176</f>
        <v>0</v>
      </c>
      <c r="R176" s="40">
        <f>-M176*O176</f>
        <v>0</v>
      </c>
      <c r="S176" s="44">
        <f>M176*P176</f>
        <v>64966.716636270678</v>
      </c>
      <c r="T176" s="35">
        <f>P176</f>
        <v>456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154.25969365953034</v>
      </c>
      <c r="V176" s="57">
        <v>0</v>
      </c>
      <c r="W176" s="57">
        <v>0</v>
      </c>
      <c r="X176" s="61">
        <f t="shared" ref="X176:X195" si="183">-W176+T176+V176</f>
        <v>456</v>
      </c>
      <c r="Y176" s="40">
        <f>U176*V176</f>
        <v>0</v>
      </c>
      <c r="Z176" s="40">
        <f>-U176*W176</f>
        <v>0</v>
      </c>
      <c r="AA176" s="44">
        <f>U176*X176</f>
        <v>70342.42030874583</v>
      </c>
      <c r="AB176" s="35">
        <f>X176</f>
        <v>456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166.86798288920127</v>
      </c>
      <c r="AD176" s="57">
        <v>0</v>
      </c>
      <c r="AE176" s="57">
        <v>0</v>
      </c>
      <c r="AF176" s="61">
        <f t="shared" ref="AF176:AF195" si="184">-AE176+AB176+AD176</f>
        <v>456</v>
      </c>
      <c r="AG176" s="40">
        <f>AC176*AD176</f>
        <v>0</v>
      </c>
      <c r="AH176" s="40">
        <f>-AC176*AE176</f>
        <v>0</v>
      </c>
      <c r="AI176" s="44">
        <f>AC176*AF176</f>
        <v>76091.800197475779</v>
      </c>
      <c r="AJ176" s="35">
        <f t="shared" ref="AJ176:AJ195" si="185">AF176</f>
        <v>456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180.16928454749808</v>
      </c>
      <c r="AL176" s="57">
        <v>0</v>
      </c>
      <c r="AM176" s="57">
        <v>0</v>
      </c>
      <c r="AN176" s="61">
        <f t="shared" ref="AN176:AN195" si="186">-AM176+AJ176+AL176</f>
        <v>456</v>
      </c>
      <c r="AO176" s="40">
        <f>AK176*AL176</f>
        <v>0</v>
      </c>
      <c r="AP176" s="40">
        <f>-AK176*AM176</f>
        <v>0</v>
      </c>
      <c r="AQ176" s="44">
        <f>AK176*AN176</f>
        <v>82157.193753659129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82</v>
      </c>
      <c r="G177" s="35">
        <f>SUMIFS(WORKING!$AC$3:$AC$6802,WORKING!$A$3:$A$6802,Results!$D$3,WORKING!$B$3:$B$6802,Results!A177,WORKING!$C$3:$C$6802,Results!C177)/1000</f>
        <v>1696.5761899999998</v>
      </c>
      <c r="H177" s="35">
        <f t="shared" ref="H177:H195" si="187">IFERROR(G177/F177,0)</f>
        <v>20.689953536585364</v>
      </c>
      <c r="I177" s="187">
        <v>87</v>
      </c>
      <c r="J177" s="212">
        <v>12006</v>
      </c>
      <c r="K177" s="217">
        <f t="shared" ref="K177:K195" si="188">IFERROR(IF(J177="",G177,J177)/IF(I177="",F177,I177),"")</f>
        <v>138</v>
      </c>
      <c r="L177" s="34">
        <f t="shared" si="181"/>
        <v>87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148.7782393366989</v>
      </c>
      <c r="N177" s="57">
        <v>0</v>
      </c>
      <c r="O177" s="57">
        <v>0</v>
      </c>
      <c r="P177" s="61">
        <f t="shared" si="182"/>
        <v>87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12943.706822292805</v>
      </c>
      <c r="T177" s="35">
        <f t="shared" ref="T177:T195" si="192">P177</f>
        <v>87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160.80879694845336</v>
      </c>
      <c r="V177" s="57">
        <v>0</v>
      </c>
      <c r="W177" s="57">
        <v>0</v>
      </c>
      <c r="X177" s="61">
        <f t="shared" si="183"/>
        <v>87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13990.365334515443</v>
      </c>
      <c r="AB177" s="35">
        <f t="shared" ref="AB177:AB195" si="196">X177</f>
        <v>87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173.6497233893457</v>
      </c>
      <c r="AD177" s="57">
        <v>0</v>
      </c>
      <c r="AE177" s="57">
        <v>0</v>
      </c>
      <c r="AF177" s="61">
        <f t="shared" si="184"/>
        <v>87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15107.525934873076</v>
      </c>
      <c r="AJ177" s="35">
        <f t="shared" si="185"/>
        <v>87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187.16518067937221</v>
      </c>
      <c r="AL177" s="57">
        <v>0</v>
      </c>
      <c r="AM177" s="57">
        <v>0</v>
      </c>
      <c r="AN177" s="61">
        <f t="shared" si="186"/>
        <v>87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16283.370719105382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83</v>
      </c>
      <c r="G178" s="35">
        <f>SUMIFS(WORKING!$AC$3:$AC$6802,WORKING!$A$3:$A$6802,Results!$D$3,WORKING!$B$3:$B$6802,Results!A178,WORKING!$C$3:$C$6802,Results!C178)/1000</f>
        <v>15840.605780000004</v>
      </c>
      <c r="H178" s="35">
        <f t="shared" si="187"/>
        <v>190.85067204819282</v>
      </c>
      <c r="I178" s="187">
        <v>85</v>
      </c>
      <c r="J178" s="212">
        <v>15253.345864661655</v>
      </c>
      <c r="K178" s="217">
        <f t="shared" si="188"/>
        <v>179.45112781954887</v>
      </c>
      <c r="L178" s="34">
        <f t="shared" si="181"/>
        <v>85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194.1993737512262</v>
      </c>
      <c r="N178" s="57">
        <v>0</v>
      </c>
      <c r="O178" s="57">
        <v>0</v>
      </c>
      <c r="P178" s="61">
        <f t="shared" si="182"/>
        <v>85</v>
      </c>
      <c r="Q178" s="40">
        <f t="shared" si="189"/>
        <v>0</v>
      </c>
      <c r="R178" s="40">
        <f t="shared" si="190"/>
        <v>0</v>
      </c>
      <c r="S178" s="44">
        <f t="shared" si="191"/>
        <v>16506.946768854228</v>
      </c>
      <c r="T178" s="35">
        <f t="shared" si="192"/>
        <v>85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210.10906258936072</v>
      </c>
      <c r="V178" s="57">
        <v>0</v>
      </c>
      <c r="W178" s="57">
        <v>0</v>
      </c>
      <c r="X178" s="61">
        <f t="shared" si="183"/>
        <v>85</v>
      </c>
      <c r="Y178" s="40">
        <f t="shared" si="193"/>
        <v>0</v>
      </c>
      <c r="Z178" s="40">
        <f t="shared" si="194"/>
        <v>0</v>
      </c>
      <c r="AA178" s="44">
        <f t="shared" si="195"/>
        <v>17859.27032009566</v>
      </c>
      <c r="AB178" s="35">
        <f t="shared" si="196"/>
        <v>85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227.10972353949504</v>
      </c>
      <c r="AD178" s="57">
        <v>0</v>
      </c>
      <c r="AE178" s="57">
        <v>0</v>
      </c>
      <c r="AF178" s="61">
        <f t="shared" si="184"/>
        <v>85</v>
      </c>
      <c r="AG178" s="40">
        <f t="shared" si="197"/>
        <v>0</v>
      </c>
      <c r="AH178" s="40">
        <f t="shared" si="198"/>
        <v>0</v>
      </c>
      <c r="AI178" s="44">
        <f t="shared" si="199"/>
        <v>19304.326500857078</v>
      </c>
      <c r="AJ178" s="35">
        <f t="shared" si="185"/>
        <v>85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245.02674930925963</v>
      </c>
      <c r="AL178" s="57">
        <v>0</v>
      </c>
      <c r="AM178" s="57">
        <v>0</v>
      </c>
      <c r="AN178" s="61">
        <f t="shared" si="186"/>
        <v>85</v>
      </c>
      <c r="AO178" s="40">
        <f t="shared" si="200"/>
        <v>0</v>
      </c>
      <c r="AP178" s="40">
        <f t="shared" si="201"/>
        <v>0</v>
      </c>
      <c r="AQ178" s="44">
        <f t="shared" si="202"/>
        <v>20827.273691287068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7</v>
      </c>
      <c r="G179" s="35">
        <f>SUMIFS(WORKING!$AC$3:$AC$6802,WORKING!$A$3:$A$6802,Results!$D$3,WORKING!$B$3:$B$6802,Results!A179,WORKING!$C$3:$C$6802,Results!C179)/1000</f>
        <v>1053.55837</v>
      </c>
      <c r="H179" s="35">
        <f t="shared" si="187"/>
        <v>150.50833857142857</v>
      </c>
      <c r="I179" s="187">
        <v>9</v>
      </c>
      <c r="J179" s="212">
        <v>1951.875</v>
      </c>
      <c r="K179" s="217">
        <f t="shared" si="188"/>
        <v>216.875</v>
      </c>
      <c r="L179" s="34">
        <f t="shared" si="181"/>
        <v>9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235.03133543051587</v>
      </c>
      <c r="N179" s="57">
        <v>0</v>
      </c>
      <c r="O179" s="57">
        <v>1</v>
      </c>
      <c r="P179" s="61">
        <f t="shared" si="182"/>
        <v>8</v>
      </c>
      <c r="Q179" s="40">
        <f t="shared" si="189"/>
        <v>0</v>
      </c>
      <c r="R179" s="40">
        <f t="shared" si="190"/>
        <v>-235.03133543051587</v>
      </c>
      <c r="S179" s="44">
        <f t="shared" si="191"/>
        <v>1880.2506834441269</v>
      </c>
      <c r="T179" s="35">
        <f t="shared" si="192"/>
        <v>8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254.39190997983005</v>
      </c>
      <c r="V179" s="57">
        <v>0</v>
      </c>
      <c r="W179" s="57">
        <v>0</v>
      </c>
      <c r="X179" s="61">
        <f t="shared" si="183"/>
        <v>8</v>
      </c>
      <c r="Y179" s="40">
        <f t="shared" si="193"/>
        <v>0</v>
      </c>
      <c r="Z179" s="40">
        <f t="shared" si="194"/>
        <v>0</v>
      </c>
      <c r="AA179" s="44">
        <f t="shared" si="195"/>
        <v>2035.1352798386404</v>
      </c>
      <c r="AB179" s="35">
        <f t="shared" si="196"/>
        <v>8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275.09017546814698</v>
      </c>
      <c r="AD179" s="57">
        <v>0</v>
      </c>
      <c r="AE179" s="57">
        <v>0</v>
      </c>
      <c r="AF179" s="61">
        <f t="shared" si="184"/>
        <v>8</v>
      </c>
      <c r="AG179" s="40">
        <f t="shared" si="197"/>
        <v>0</v>
      </c>
      <c r="AH179" s="40">
        <f t="shared" si="198"/>
        <v>0</v>
      </c>
      <c r="AI179" s="44">
        <f t="shared" si="199"/>
        <v>2200.7214037451758</v>
      </c>
      <c r="AJ179" s="35">
        <f t="shared" si="185"/>
        <v>8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296.91643584549877</v>
      </c>
      <c r="AL179" s="57">
        <v>0</v>
      </c>
      <c r="AM179" s="57">
        <v>0</v>
      </c>
      <c r="AN179" s="61">
        <f t="shared" si="186"/>
        <v>8</v>
      </c>
      <c r="AO179" s="40">
        <f t="shared" si="200"/>
        <v>0</v>
      </c>
      <c r="AP179" s="40">
        <f t="shared" si="201"/>
        <v>0</v>
      </c>
      <c r="AQ179" s="44">
        <f t="shared" si="202"/>
        <v>2375.3314867639901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2545</v>
      </c>
      <c r="G180" s="35">
        <f>SUMIFS(WORKING!$AC$3:$AC$6802,WORKING!$A$3:$A$6802,Results!$D$3,WORKING!$B$3:$B$6802,Results!A180,WORKING!$C$3:$C$6802,Results!C180)/1000</f>
        <v>584315.99876999995</v>
      </c>
      <c r="H180" s="35">
        <f t="shared" si="187"/>
        <v>229.59371267976422</v>
      </c>
      <c r="I180" s="187">
        <v>2569</v>
      </c>
      <c r="J180" s="212">
        <v>618876</v>
      </c>
      <c r="K180" s="217">
        <f t="shared" si="188"/>
        <v>240.90151810042818</v>
      </c>
      <c r="L180" s="34">
        <f t="shared" si="181"/>
        <v>2569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261.36541534791428</v>
      </c>
      <c r="N180" s="57">
        <v>0</v>
      </c>
      <c r="O180" s="57">
        <v>0</v>
      </c>
      <c r="P180" s="61">
        <f t="shared" si="182"/>
        <v>2569</v>
      </c>
      <c r="Q180" s="40">
        <f t="shared" si="189"/>
        <v>0</v>
      </c>
      <c r="R180" s="40">
        <f t="shared" si="190"/>
        <v>0</v>
      </c>
      <c r="S180" s="44">
        <f t="shared" si="191"/>
        <v>671447.75202879182</v>
      </c>
      <c r="T180" s="35">
        <f t="shared" si="192"/>
        <v>2569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282.95144060928618</v>
      </c>
      <c r="V180" s="57">
        <v>0</v>
      </c>
      <c r="W180" s="57">
        <v>0</v>
      </c>
      <c r="X180" s="61">
        <f t="shared" si="183"/>
        <v>2569</v>
      </c>
      <c r="Y180" s="40">
        <f t="shared" si="193"/>
        <v>0</v>
      </c>
      <c r="Z180" s="40">
        <f t="shared" si="194"/>
        <v>0</v>
      </c>
      <c r="AA180" s="44">
        <f t="shared" si="195"/>
        <v>726902.25092525617</v>
      </c>
      <c r="AB180" s="35">
        <f t="shared" si="196"/>
        <v>2569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306.03386150989081</v>
      </c>
      <c r="AD180" s="57">
        <v>0</v>
      </c>
      <c r="AE180" s="57">
        <v>0</v>
      </c>
      <c r="AF180" s="61">
        <f t="shared" si="184"/>
        <v>2569</v>
      </c>
      <c r="AG180" s="40">
        <f t="shared" si="197"/>
        <v>0</v>
      </c>
      <c r="AH180" s="40">
        <f t="shared" si="198"/>
        <v>0</v>
      </c>
      <c r="AI180" s="44">
        <f t="shared" si="199"/>
        <v>786200.99021890946</v>
      </c>
      <c r="AJ180" s="35">
        <f t="shared" si="185"/>
        <v>2569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330.37979538272373</v>
      </c>
      <c r="AL180" s="57">
        <v>0</v>
      </c>
      <c r="AM180" s="57">
        <v>0</v>
      </c>
      <c r="AN180" s="61">
        <f t="shared" si="186"/>
        <v>2569</v>
      </c>
      <c r="AO180" s="40">
        <f t="shared" si="200"/>
        <v>0</v>
      </c>
      <c r="AP180" s="40">
        <f t="shared" si="201"/>
        <v>0</v>
      </c>
      <c r="AQ180" s="44">
        <f t="shared" si="202"/>
        <v>848745.69433821726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1941</v>
      </c>
      <c r="G181" s="35">
        <f>SUMIFS(WORKING!$AC$3:$AC$6802,WORKING!$A$3:$A$6802,Results!$D$3,WORKING!$B$3:$B$6802,Results!A181,WORKING!$C$3:$C$6802,Results!C181)/1000</f>
        <v>592429.87673999998</v>
      </c>
      <c r="H181" s="35">
        <f t="shared" si="187"/>
        <v>305.21889579598144</v>
      </c>
      <c r="I181" s="187">
        <v>1962</v>
      </c>
      <c r="J181" s="212">
        <v>590849.16992481193</v>
      </c>
      <c r="K181" s="217">
        <f t="shared" si="188"/>
        <v>301.14636591478694</v>
      </c>
      <c r="L181" s="34">
        <f t="shared" si="181"/>
        <v>1962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327.1676168883605</v>
      </c>
      <c r="N181" s="57">
        <v>43</v>
      </c>
      <c r="O181" s="57">
        <v>0</v>
      </c>
      <c r="P181" s="61">
        <f t="shared" si="182"/>
        <v>2005</v>
      </c>
      <c r="Q181" s="40">
        <f t="shared" si="189"/>
        <v>14068.207526199501</v>
      </c>
      <c r="R181" s="40">
        <f t="shared" si="190"/>
        <v>0</v>
      </c>
      <c r="S181" s="44">
        <f t="shared" si="191"/>
        <v>655971.07186116278</v>
      </c>
      <c r="T181" s="35">
        <f t="shared" si="192"/>
        <v>2005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354.31080927947193</v>
      </c>
      <c r="V181" s="57">
        <v>0</v>
      </c>
      <c r="W181" s="57">
        <v>0</v>
      </c>
      <c r="X181" s="61">
        <f t="shared" si="183"/>
        <v>2005</v>
      </c>
      <c r="Y181" s="40">
        <f t="shared" si="193"/>
        <v>0</v>
      </c>
      <c r="Z181" s="40">
        <f t="shared" si="194"/>
        <v>0</v>
      </c>
      <c r="AA181" s="44">
        <f t="shared" si="195"/>
        <v>710393.17260534118</v>
      </c>
      <c r="AB181" s="35">
        <f t="shared" si="196"/>
        <v>2005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383.34718787017829</v>
      </c>
      <c r="AD181" s="57">
        <v>0</v>
      </c>
      <c r="AE181" s="57">
        <v>0</v>
      </c>
      <c r="AF181" s="61">
        <f t="shared" si="184"/>
        <v>2005</v>
      </c>
      <c r="AG181" s="40">
        <f t="shared" si="197"/>
        <v>0</v>
      </c>
      <c r="AH181" s="40">
        <f t="shared" si="198"/>
        <v>0</v>
      </c>
      <c r="AI181" s="44">
        <f t="shared" si="199"/>
        <v>768611.11167970742</v>
      </c>
      <c r="AJ181" s="35">
        <f t="shared" si="185"/>
        <v>2005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413.9868981104533</v>
      </c>
      <c r="AL181" s="57">
        <v>0</v>
      </c>
      <c r="AM181" s="57">
        <v>0</v>
      </c>
      <c r="AN181" s="61">
        <f t="shared" si="186"/>
        <v>2005</v>
      </c>
      <c r="AO181" s="40">
        <f t="shared" si="200"/>
        <v>0</v>
      </c>
      <c r="AP181" s="40">
        <f t="shared" si="201"/>
        <v>0</v>
      </c>
      <c r="AQ181" s="44">
        <f t="shared" si="202"/>
        <v>830043.73071145883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966</v>
      </c>
      <c r="G182" s="35">
        <f>SUMIFS(WORKING!$AC$3:$AC$6802,WORKING!$A$3:$A$6802,Results!$D$3,WORKING!$B$3:$B$6802,Results!A182,WORKING!$C$3:$C$6802,Results!C182)/1000</f>
        <v>349014.09752999985</v>
      </c>
      <c r="H182" s="35">
        <f t="shared" si="187"/>
        <v>361.2982376086955</v>
      </c>
      <c r="I182" s="187">
        <v>977</v>
      </c>
      <c r="J182" s="212">
        <v>374690</v>
      </c>
      <c r="K182" s="217">
        <f t="shared" si="188"/>
        <v>383.51074718526098</v>
      </c>
      <c r="L182" s="34">
        <f t="shared" si="181"/>
        <v>977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416.98858357878913</v>
      </c>
      <c r="N182" s="57">
        <v>0</v>
      </c>
      <c r="O182" s="57">
        <v>0</v>
      </c>
      <c r="P182" s="61">
        <f t="shared" si="182"/>
        <v>977</v>
      </c>
      <c r="Q182" s="40">
        <f t="shared" si="189"/>
        <v>0</v>
      </c>
      <c r="R182" s="40">
        <f t="shared" si="190"/>
        <v>0</v>
      </c>
      <c r="S182" s="44">
        <f t="shared" si="191"/>
        <v>407397.846156477</v>
      </c>
      <c r="T182" s="35">
        <f t="shared" si="192"/>
        <v>977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451.68212357551869</v>
      </c>
      <c r="V182" s="57">
        <v>0</v>
      </c>
      <c r="W182" s="57">
        <v>0</v>
      </c>
      <c r="X182" s="61">
        <f t="shared" si="183"/>
        <v>977</v>
      </c>
      <c r="Y182" s="40">
        <f t="shared" si="193"/>
        <v>0</v>
      </c>
      <c r="Z182" s="40">
        <f t="shared" si="194"/>
        <v>0</v>
      </c>
      <c r="AA182" s="44">
        <f t="shared" si="195"/>
        <v>441293.43473328179</v>
      </c>
      <c r="AB182" s="35">
        <f t="shared" si="196"/>
        <v>977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488.80481238067853</v>
      </c>
      <c r="AD182" s="57">
        <v>0</v>
      </c>
      <c r="AE182" s="57">
        <v>0</v>
      </c>
      <c r="AF182" s="61">
        <f t="shared" si="184"/>
        <v>977</v>
      </c>
      <c r="AG182" s="40">
        <f t="shared" si="197"/>
        <v>0</v>
      </c>
      <c r="AH182" s="40">
        <f t="shared" si="198"/>
        <v>0</v>
      </c>
      <c r="AI182" s="44">
        <f t="shared" si="199"/>
        <v>477562.30169592291</v>
      </c>
      <c r="AJ182" s="35">
        <f t="shared" si="185"/>
        <v>977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527.98862618955047</v>
      </c>
      <c r="AL182" s="57">
        <v>0</v>
      </c>
      <c r="AM182" s="57">
        <v>0</v>
      </c>
      <c r="AN182" s="61">
        <f t="shared" si="186"/>
        <v>977</v>
      </c>
      <c r="AO182" s="40">
        <f t="shared" si="200"/>
        <v>0</v>
      </c>
      <c r="AP182" s="40">
        <f t="shared" si="201"/>
        <v>0</v>
      </c>
      <c r="AQ182" s="44">
        <f t="shared" si="202"/>
        <v>515844.88778719079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355</v>
      </c>
      <c r="G183" s="35">
        <f>SUMIFS(WORKING!$AC$3:$AC$6802,WORKING!$A$3:$A$6802,Results!$D$3,WORKING!$B$3:$B$6802,Results!A183,WORKING!$C$3:$C$6802,Results!C183)/1000</f>
        <v>147511.15482</v>
      </c>
      <c r="H183" s="35">
        <f t="shared" si="187"/>
        <v>415.52437977464785</v>
      </c>
      <c r="I183" s="187">
        <v>358</v>
      </c>
      <c r="J183" s="212">
        <v>175406.41734417345</v>
      </c>
      <c r="K183" s="217">
        <f t="shared" si="188"/>
        <v>489.96205962059622</v>
      </c>
      <c r="L183" s="34">
        <f t="shared" si="181"/>
        <v>358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532.85801366552892</v>
      </c>
      <c r="N183" s="57">
        <v>0</v>
      </c>
      <c r="O183" s="57">
        <v>0</v>
      </c>
      <c r="P183" s="61">
        <f t="shared" si="182"/>
        <v>358</v>
      </c>
      <c r="Q183" s="40">
        <f t="shared" si="189"/>
        <v>0</v>
      </c>
      <c r="R183" s="40">
        <f t="shared" si="190"/>
        <v>0</v>
      </c>
      <c r="S183" s="44">
        <f t="shared" si="191"/>
        <v>190763.16889225936</v>
      </c>
      <c r="T183" s="35">
        <f t="shared" si="192"/>
        <v>358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577.22607919287839</v>
      </c>
      <c r="V183" s="57">
        <v>0</v>
      </c>
      <c r="W183" s="57">
        <v>0</v>
      </c>
      <c r="X183" s="61">
        <f t="shared" si="183"/>
        <v>358</v>
      </c>
      <c r="Y183" s="40">
        <f t="shared" si="193"/>
        <v>0</v>
      </c>
      <c r="Z183" s="40">
        <f t="shared" si="194"/>
        <v>0</v>
      </c>
      <c r="AA183" s="44">
        <f t="shared" si="195"/>
        <v>206646.93635105045</v>
      </c>
      <c r="AB183" s="35">
        <f t="shared" si="196"/>
        <v>358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624.70389363953529</v>
      </c>
      <c r="AD183" s="57">
        <v>0</v>
      </c>
      <c r="AE183" s="57">
        <v>0</v>
      </c>
      <c r="AF183" s="61">
        <f t="shared" si="184"/>
        <v>358</v>
      </c>
      <c r="AG183" s="40">
        <f t="shared" si="197"/>
        <v>0</v>
      </c>
      <c r="AH183" s="40">
        <f t="shared" si="198"/>
        <v>0</v>
      </c>
      <c r="AI183" s="44">
        <f t="shared" si="199"/>
        <v>223643.99392295364</v>
      </c>
      <c r="AJ183" s="35">
        <f t="shared" si="185"/>
        <v>358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674.82162452157093</v>
      </c>
      <c r="AL183" s="57">
        <v>0</v>
      </c>
      <c r="AM183" s="57">
        <v>0</v>
      </c>
      <c r="AN183" s="61">
        <f t="shared" si="186"/>
        <v>358</v>
      </c>
      <c r="AO183" s="40">
        <f t="shared" si="200"/>
        <v>0</v>
      </c>
      <c r="AP183" s="40">
        <f t="shared" si="201"/>
        <v>0</v>
      </c>
      <c r="AQ183" s="44">
        <f t="shared" si="202"/>
        <v>241586.1415787224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>
        <v>0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205</v>
      </c>
      <c r="G185" s="35">
        <f>SUMIFS(WORKING!$AC$3:$AC$6802,WORKING!$A$3:$A$6802,Results!$D$3,WORKING!$B$3:$B$6802,Results!A185,WORKING!$C$3:$C$6802,Results!C185)/1000</f>
        <v>99923.407600000006</v>
      </c>
      <c r="H185" s="35">
        <f t="shared" si="187"/>
        <v>487.43125658536587</v>
      </c>
      <c r="I185" s="187">
        <v>206</v>
      </c>
      <c r="J185" s="212">
        <v>134432.06857142856</v>
      </c>
      <c r="K185" s="217">
        <f t="shared" si="188"/>
        <v>652.58285714285716</v>
      </c>
      <c r="L185" s="34">
        <f t="shared" si="181"/>
        <v>206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710.07707970414458</v>
      </c>
      <c r="N185" s="57">
        <v>0</v>
      </c>
      <c r="O185" s="57">
        <v>0</v>
      </c>
      <c r="P185" s="61">
        <f t="shared" si="182"/>
        <v>206</v>
      </c>
      <c r="Q185" s="40">
        <f t="shared" si="189"/>
        <v>0</v>
      </c>
      <c r="R185" s="40">
        <f t="shared" si="190"/>
        <v>0</v>
      </c>
      <c r="S185" s="44">
        <f t="shared" si="191"/>
        <v>146275.87841905377</v>
      </c>
      <c r="T185" s="35">
        <f t="shared" si="192"/>
        <v>206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769.30515628551416</v>
      </c>
      <c r="V185" s="57">
        <v>0</v>
      </c>
      <c r="W185" s="57">
        <v>0</v>
      </c>
      <c r="X185" s="61">
        <f t="shared" si="183"/>
        <v>206</v>
      </c>
      <c r="Y185" s="40">
        <f t="shared" si="193"/>
        <v>0</v>
      </c>
      <c r="Z185" s="40">
        <f t="shared" si="194"/>
        <v>0</v>
      </c>
      <c r="AA185" s="44">
        <f t="shared" si="195"/>
        <v>158476.86219481591</v>
      </c>
      <c r="AB185" s="35">
        <f t="shared" si="196"/>
        <v>206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832.69439437046401</v>
      </c>
      <c r="AD185" s="57">
        <v>0</v>
      </c>
      <c r="AE185" s="57">
        <v>0</v>
      </c>
      <c r="AF185" s="61">
        <f t="shared" si="184"/>
        <v>206</v>
      </c>
      <c r="AG185" s="40">
        <f t="shared" si="197"/>
        <v>0</v>
      </c>
      <c r="AH185" s="40">
        <f t="shared" si="198"/>
        <v>0</v>
      </c>
      <c r="AI185" s="44">
        <f t="shared" si="199"/>
        <v>171535.04524031558</v>
      </c>
      <c r="AJ185" s="35">
        <f t="shared" si="185"/>
        <v>206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899.62019317494071</v>
      </c>
      <c r="AL185" s="57">
        <v>0</v>
      </c>
      <c r="AM185" s="57">
        <v>0</v>
      </c>
      <c r="AN185" s="61">
        <f t="shared" si="186"/>
        <v>206</v>
      </c>
      <c r="AO185" s="40">
        <f t="shared" si="200"/>
        <v>0</v>
      </c>
      <c r="AP185" s="40">
        <f t="shared" si="201"/>
        <v>0</v>
      </c>
      <c r="AQ185" s="44">
        <f t="shared" si="202"/>
        <v>185321.75979403779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>
        <v>0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70</v>
      </c>
      <c r="G187" s="35">
        <f>SUMIFS(WORKING!$AC$3:$AC$6802,WORKING!$A$3:$A$6802,Results!$D$3,WORKING!$B$3:$B$6802,Results!A187,WORKING!$C$3:$C$6802,Results!C187)/1000</f>
        <v>50962.669980000042</v>
      </c>
      <c r="H187" s="35">
        <f t="shared" si="187"/>
        <v>728.03814257142915</v>
      </c>
      <c r="I187" s="187">
        <v>71</v>
      </c>
      <c r="J187" s="212">
        <v>64669.486486486487</v>
      </c>
      <c r="K187" s="217">
        <f t="shared" si="188"/>
        <v>910.83783783783781</v>
      </c>
      <c r="L187" s="34">
        <f t="shared" si="181"/>
        <v>71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992.79118719876158</v>
      </c>
      <c r="N187" s="57">
        <v>0</v>
      </c>
      <c r="O187" s="57">
        <v>0</v>
      </c>
      <c r="P187" s="61">
        <f t="shared" si="182"/>
        <v>71</v>
      </c>
      <c r="Q187" s="40">
        <f t="shared" si="189"/>
        <v>0</v>
      </c>
      <c r="R187" s="40">
        <f t="shared" si="190"/>
        <v>0</v>
      </c>
      <c r="S187" s="44">
        <f t="shared" si="191"/>
        <v>70488.174291112067</v>
      </c>
      <c r="T187" s="35">
        <f t="shared" si="192"/>
        <v>71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1076.0842362794729</v>
      </c>
      <c r="V187" s="57">
        <v>0</v>
      </c>
      <c r="W187" s="57">
        <v>0</v>
      </c>
      <c r="X187" s="61">
        <f t="shared" si="183"/>
        <v>71</v>
      </c>
      <c r="Y187" s="40">
        <f t="shared" si="193"/>
        <v>0</v>
      </c>
      <c r="Z187" s="40">
        <f t="shared" si="194"/>
        <v>0</v>
      </c>
      <c r="AA187" s="44">
        <f t="shared" si="195"/>
        <v>76401.980775842574</v>
      </c>
      <c r="AB187" s="35">
        <f t="shared" si="196"/>
        <v>71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1165.275332232384</v>
      </c>
      <c r="AD187" s="57">
        <v>0</v>
      </c>
      <c r="AE187" s="57">
        <v>0</v>
      </c>
      <c r="AF187" s="61">
        <f t="shared" si="184"/>
        <v>71</v>
      </c>
      <c r="AG187" s="40">
        <f t="shared" si="197"/>
        <v>0</v>
      </c>
      <c r="AH187" s="40">
        <f t="shared" si="198"/>
        <v>0</v>
      </c>
      <c r="AI187" s="44">
        <f t="shared" si="199"/>
        <v>82734.548588499267</v>
      </c>
      <c r="AJ187" s="35">
        <f t="shared" si="185"/>
        <v>71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1259.4981987086546</v>
      </c>
      <c r="AL187" s="57">
        <v>0</v>
      </c>
      <c r="AM187" s="57">
        <v>0</v>
      </c>
      <c r="AN187" s="61">
        <f t="shared" si="186"/>
        <v>71</v>
      </c>
      <c r="AO187" s="40">
        <f t="shared" si="200"/>
        <v>0</v>
      </c>
      <c r="AP187" s="40">
        <f t="shared" si="201"/>
        <v>0</v>
      </c>
      <c r="AQ187" s="44">
        <f t="shared" si="202"/>
        <v>89424.372108314477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18</v>
      </c>
      <c r="G188" s="35">
        <f>SUMIFS(WORKING!$AC$3:$AC$6802,WORKING!$A$3:$A$6802,Results!$D$3,WORKING!$B$3:$B$6802,Results!A188,WORKING!$C$3:$C$6802,Results!C188)/1000</f>
        <v>17519.971799999996</v>
      </c>
      <c r="H188" s="35">
        <f t="shared" si="187"/>
        <v>973.33176666666645</v>
      </c>
      <c r="I188" s="187">
        <v>18</v>
      </c>
      <c r="J188" s="212">
        <v>17599.764705882353</v>
      </c>
      <c r="K188" s="217">
        <f t="shared" si="188"/>
        <v>977.76470588235293</v>
      </c>
      <c r="L188" s="34">
        <f t="shared" si="181"/>
        <v>18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1023.160668836264</v>
      </c>
      <c r="N188" s="57">
        <v>0</v>
      </c>
      <c r="O188" s="57">
        <v>0</v>
      </c>
      <c r="P188" s="61">
        <f t="shared" si="182"/>
        <v>18</v>
      </c>
      <c r="Q188" s="40">
        <f t="shared" si="189"/>
        <v>0</v>
      </c>
      <c r="R188" s="40">
        <f t="shared" si="190"/>
        <v>0</v>
      </c>
      <c r="S188" s="44">
        <f t="shared" si="191"/>
        <v>18416.892039052753</v>
      </c>
      <c r="T188" s="35">
        <f t="shared" si="192"/>
        <v>18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1098.6487386378001</v>
      </c>
      <c r="V188" s="57">
        <v>0</v>
      </c>
      <c r="W188" s="57">
        <v>0</v>
      </c>
      <c r="X188" s="61">
        <f t="shared" si="183"/>
        <v>18</v>
      </c>
      <c r="Y188" s="40">
        <f t="shared" si="193"/>
        <v>0</v>
      </c>
      <c r="Z188" s="40">
        <f t="shared" si="194"/>
        <v>0</v>
      </c>
      <c r="AA188" s="44">
        <f t="shared" si="195"/>
        <v>19775.6772954804</v>
      </c>
      <c r="AB188" s="35">
        <f t="shared" si="196"/>
        <v>18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1178.5933343491381</v>
      </c>
      <c r="AD188" s="57">
        <v>0</v>
      </c>
      <c r="AE188" s="57">
        <v>0</v>
      </c>
      <c r="AF188" s="61">
        <f t="shared" si="184"/>
        <v>18</v>
      </c>
      <c r="AG188" s="40">
        <f t="shared" si="197"/>
        <v>0</v>
      </c>
      <c r="AH188" s="40">
        <f t="shared" si="198"/>
        <v>0</v>
      </c>
      <c r="AI188" s="44">
        <f t="shared" si="199"/>
        <v>21214.680018284485</v>
      </c>
      <c r="AJ188" s="35">
        <f t="shared" si="185"/>
        <v>18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1261.9673733922457</v>
      </c>
      <c r="AL188" s="57">
        <v>0</v>
      </c>
      <c r="AM188" s="57">
        <v>0</v>
      </c>
      <c r="AN188" s="61">
        <f t="shared" si="186"/>
        <v>18</v>
      </c>
      <c r="AO188" s="40">
        <f t="shared" si="200"/>
        <v>0</v>
      </c>
      <c r="AP188" s="40">
        <f t="shared" si="201"/>
        <v>0</v>
      </c>
      <c r="AQ188" s="44">
        <f t="shared" si="202"/>
        <v>22715.412721060424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3</v>
      </c>
      <c r="G189" s="35">
        <f>SUMIFS(WORKING!$AC$3:$AC$6802,WORKING!$A$3:$A$6802,Results!$D$3,WORKING!$B$3:$B$6802,Results!A189,WORKING!$C$3:$C$6802,Results!C189)/1000</f>
        <v>3264.2760999999996</v>
      </c>
      <c r="H189" s="35">
        <f t="shared" si="187"/>
        <v>1088.0920333333331</v>
      </c>
      <c r="I189" s="187">
        <v>3</v>
      </c>
      <c r="J189" s="212">
        <v>3357.75</v>
      </c>
      <c r="K189" s="217">
        <f t="shared" si="188"/>
        <v>1119.25</v>
      </c>
      <c r="L189" s="34">
        <f t="shared" si="181"/>
        <v>3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1171.2149769659613</v>
      </c>
      <c r="N189" s="57">
        <v>0</v>
      </c>
      <c r="O189" s="57">
        <v>0</v>
      </c>
      <c r="P189" s="61">
        <f t="shared" si="182"/>
        <v>3</v>
      </c>
      <c r="Q189" s="40">
        <f t="shared" si="189"/>
        <v>0</v>
      </c>
      <c r="R189" s="40">
        <f t="shared" si="190"/>
        <v>0</v>
      </c>
      <c r="S189" s="44">
        <f t="shared" si="191"/>
        <v>3513.644930897884</v>
      </c>
      <c r="T189" s="35">
        <f t="shared" si="192"/>
        <v>3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1257.6264864177606</v>
      </c>
      <c r="V189" s="57">
        <v>0</v>
      </c>
      <c r="W189" s="57">
        <v>0</v>
      </c>
      <c r="X189" s="61">
        <f t="shared" si="183"/>
        <v>3</v>
      </c>
      <c r="Y189" s="40">
        <f t="shared" si="193"/>
        <v>0</v>
      </c>
      <c r="Z189" s="40">
        <f t="shared" si="194"/>
        <v>0</v>
      </c>
      <c r="AA189" s="44">
        <f t="shared" si="195"/>
        <v>3772.8794592532818</v>
      </c>
      <c r="AB189" s="35">
        <f t="shared" si="196"/>
        <v>3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1349.1394081740209</v>
      </c>
      <c r="AD189" s="57">
        <v>0</v>
      </c>
      <c r="AE189" s="57">
        <v>0</v>
      </c>
      <c r="AF189" s="61">
        <f t="shared" si="184"/>
        <v>3</v>
      </c>
      <c r="AG189" s="40">
        <f t="shared" si="197"/>
        <v>0</v>
      </c>
      <c r="AH189" s="40">
        <f t="shared" si="198"/>
        <v>0</v>
      </c>
      <c r="AI189" s="44">
        <f t="shared" si="199"/>
        <v>4047.4182245220627</v>
      </c>
      <c r="AJ189" s="35">
        <f t="shared" si="185"/>
        <v>3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1444.5780387510617</v>
      </c>
      <c r="AL189" s="57">
        <v>0</v>
      </c>
      <c r="AM189" s="57">
        <v>0</v>
      </c>
      <c r="AN189" s="61">
        <f t="shared" si="186"/>
        <v>3</v>
      </c>
      <c r="AO189" s="40">
        <f t="shared" si="200"/>
        <v>0</v>
      </c>
      <c r="AP189" s="40">
        <f t="shared" si="201"/>
        <v>0</v>
      </c>
      <c r="AQ189" s="44">
        <f t="shared" si="202"/>
        <v>4333.7341162531848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120.36174000000001</v>
      </c>
      <c r="H190" s="35">
        <f t="shared" si="187"/>
        <v>120.36174000000001</v>
      </c>
      <c r="I190" s="187">
        <v>1</v>
      </c>
      <c r="J190" s="212">
        <v>1557</v>
      </c>
      <c r="K190" s="217">
        <f t="shared" si="188"/>
        <v>1557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1629.2892390206503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1629.2892390206503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1749.497432419184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1749.497432419184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1876.802289640694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1876.802289640694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2009.5682797887514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2009.5682797887514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6487</v>
      </c>
      <c r="G196" s="41">
        <f>SUM(G176:G195)</f>
        <v>1872580.66181</v>
      </c>
      <c r="H196" s="41">
        <f>IFERROR(G196/F196,0)</f>
        <v>288.6666659179898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6802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2070512.5578974443</v>
      </c>
      <c r="K196" s="41">
        <f>IFERROR(J196/I196,"")</f>
        <v>304.39761215781306</v>
      </c>
      <c r="L196" s="41">
        <f>SUM(L176:L195)</f>
        <v>6802</v>
      </c>
      <c r="M196" s="41">
        <f>IFERROR(S196/P196,0)</f>
        <v>330.53789286509198</v>
      </c>
      <c r="N196" s="41">
        <f t="shared" ref="N196:T196" si="203">SUM(N176:N195)</f>
        <v>43</v>
      </c>
      <c r="O196" s="41">
        <f t="shared" si="203"/>
        <v>1</v>
      </c>
      <c r="P196" s="41">
        <f t="shared" si="203"/>
        <v>6844</v>
      </c>
      <c r="Q196" s="41">
        <f t="shared" si="203"/>
        <v>14068.207526199501</v>
      </c>
      <c r="R196" s="41">
        <f t="shared" si="203"/>
        <v>-235.03133543051587</v>
      </c>
      <c r="S196" s="45">
        <f t="shared" si="203"/>
        <v>2262201.3387686894</v>
      </c>
      <c r="T196" s="41">
        <f t="shared" si="203"/>
        <v>6844</v>
      </c>
      <c r="U196" s="41">
        <f>IFERROR(AA196/X196,0)</f>
        <v>357.92517285446183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6844</v>
      </c>
      <c r="Y196" s="41">
        <f t="shared" si="204"/>
        <v>0</v>
      </c>
      <c r="Z196" s="41">
        <f t="shared" si="204"/>
        <v>0</v>
      </c>
      <c r="AA196" s="45">
        <f t="shared" si="204"/>
        <v>2449639.8830159367</v>
      </c>
      <c r="AB196" s="41">
        <f t="shared" si="204"/>
        <v>6844</v>
      </c>
      <c r="AC196" s="41">
        <f>IFERROR(AI196/AF196,0)</f>
        <v>387.21964726997464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6844</v>
      </c>
      <c r="AG196" s="41">
        <f t="shared" si="205"/>
        <v>0</v>
      </c>
      <c r="AH196" s="41">
        <f t="shared" si="205"/>
        <v>0</v>
      </c>
      <c r="AI196" s="45">
        <f t="shared" si="205"/>
        <v>2650131.2659157063</v>
      </c>
      <c r="AJ196" s="41">
        <f t="shared" si="205"/>
        <v>6844</v>
      </c>
      <c r="AK196" s="41">
        <f>IFERROR(AQ196/AN196,0)</f>
        <v>418.1280641563207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6844</v>
      </c>
      <c r="AO196" s="41">
        <f t="shared" si="206"/>
        <v>0</v>
      </c>
      <c r="AP196" s="41">
        <f t="shared" si="206"/>
        <v>0</v>
      </c>
      <c r="AQ196" s="45">
        <f t="shared" si="206"/>
        <v>2861668.471085859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2279084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2409378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2583570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2779921.3200000003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16882.661231310572</v>
      </c>
      <c r="T198" s="39"/>
      <c r="U198" s="39"/>
      <c r="V198" s="53"/>
      <c r="W198" s="53"/>
      <c r="X198" s="110"/>
      <c r="Y198" s="39"/>
      <c r="Z198" s="39"/>
      <c r="AA198" s="54">
        <f>AA197-AA196</f>
        <v>-40261.883015936706</v>
      </c>
      <c r="AB198" s="39"/>
      <c r="AC198" s="53"/>
      <c r="AD198" s="53"/>
      <c r="AE198" s="110"/>
      <c r="AF198" s="39"/>
      <c r="AG198" s="39"/>
      <c r="AH198" s="39"/>
      <c r="AI198" s="54">
        <f>AI197-AI196</f>
        <v>-66561.265915706288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-81747.151085858699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/nUetOzZ3bWG1A/EI4zMwZ/HnHcwewcsUoYEWBxrHbABLNureg7rhVRTYTuvfpUWWcIeUqvXuqNK335fFSZnLA==" saltValue="6q8O7zPwZb2SwSvUe7OEx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South African Police Service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23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42671.503506597219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NAT_HRBP__42671.5035065972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HRBP-Vote23.xlsx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elements/1.1/"/>
    <ds:schemaRef ds:uri="df7ca258-5e24-45de-bd31-dbc76bc6765a"/>
    <ds:schemaRef ds:uri="http://schemas.microsoft.com/office/2006/documentManagement/typ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